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luciagarciabello/Downloads/"/>
    </mc:Choice>
  </mc:AlternateContent>
  <xr:revisionPtr revIDLastSave="0" documentId="13_ncr:1_{FC9F2B6F-4A2B-7A41-A12A-A73FAA7FCA32}" xr6:coauthVersionLast="47" xr6:coauthVersionMax="47" xr10:uidLastSave="{00000000-0000-0000-0000-000000000000}"/>
  <bookViews>
    <workbookView xWindow="0" yWindow="0" windowWidth="33600" windowHeight="21000" tabRatio="500" firstSheet="1" activeTab="0" xr2:uid="{00000000-000D-0000-FFFF-FFFF00000000}"/>
  </bookViews>
  <sheets>
    <sheet name="Inicio" sheetId="23" r:id="rId27"/>
    <sheet name="01 · Encuadre" sheetId="24" r:id="rId28"/>
    <sheet name="02 · Variables" sheetId="7" r:id="rId7"/>
    <sheet name="03 · Criterio" sheetId="25" r:id="rId29"/>
    <sheet name="04 · Matriz" sheetId="8" r:id="rId8"/>
    <sheet name="05 · Resultado" sheetId="26" r:id="rId30"/>
    <sheet name="06 · Informe" sheetId="27" r:id="rId31"/>
    <sheet name="Método" sheetId="4" r:id="rId4"/>
    <sheet name="Comprobación" sheetId="28" r:id="rId32"/>
    <sheet name="_directos" sheetId="10" r:id="rId10" state="veryHidden"/>
    <sheet name="_indirectos" sheetId="11" r:id="rId11" state="veryHidden"/>
    <sheet name="_potenciales" sheetId="12" r:id="rId12" state="veryHidden"/>
    <sheet name="_comparativa" sheetId="13" r:id="rId13" state="veryHidden"/>
    <sheet name="_motor" sheetId="22" r:id="rId22" state="veryHidden"/>
  </sheets>
  <definedNames>
    <definedName name="_xlnm.Print_Area" localSheetId="0">'Inicio'!$B$1:$H$34</definedName>
    <definedName name="_xlnm.Print_Area" localSheetId="1">'01 · Encuadre'!$B$1:$H$31</definedName>
    <definedName name="_xlnm.Print_Area" localSheetId="2">'02 · Variables'!$B$1:$G$110</definedName>
    <definedName name="_xlnm.Print_Titles" localSheetId="2">'02 · Variables'!$1:$6</definedName>
    <definedName name="_xlnm.Print_Area" localSheetId="3">'03 · Criterio'!$B$1:$G$52</definedName>
    <definedName name="_xlnm.Print_Titles" localSheetId="3">'03 · Criterio'!$1:$6</definedName>
    <definedName name="_xlnm.Print_Area" localSheetId="4">'04 · Matriz'!$B$1:$AA$95</definedName>
    <definedName name="_xlnm.Print_Titles" localSheetId="4">'04 · Matriz'!$1:$5</definedName>
    <definedName name="_xlnm.Print_Area" localSheetId="5">'05 · Resultado'!$B$1:$AE$110</definedName>
    <definedName name="_xlnm.Print_Titles" localSheetId="5">'05 · Resultado'!$1:$6</definedName>
    <definedName name="_xlnm.Print_Area" localSheetId="6">'06 · Informe'!$B$1:$AE$70</definedName>
    <definedName name="_xlnm.Print_Area" localSheetId="7">'Método'!$B$1:$D$31</definedName>
    <definedName name="_xlnm.Print_Area" localSheetId="8">'Comprobación'!$B$1:$G$48</definedName>
    <definedName name="_xlnm.Print_Titles" localSheetId="8">'Comprobación'!$1:$6</definedName>
    <definedName name="Var_Codigo">'02 · Variables'!$B$7:$B$31</definedName>
    <definedName name="Var_Nombre">'02 · Variables'!$C$7:$C$31</definedName>
    <definedName name="Var_Definicion">'02 · Variables'!$E$7:$E$31</definedName>
    <definedName name="Mat_MID">'04 · Matriz'!$C$6:$AA$30</definedName>
    <definedName name="Est_Titulo">'01 · Encuadre'!$B$10</definedName>
    <definedName name="Est_Pregunta">'01 · Encuadre'!$B$14</definedName>
    <definedName name="Est_Horizonte">'01 · Encuadre'!$B$18</definedName>
    <definedName name="Est_Autor">'01 · Encuadre'!$B$22</definedName>
    <definedName name="Cal_Valores">'03 · Criterio'!$D$9:$D$23</definedName>
    <definedName name="Cal_Ficha">'03 · Criterio'!$C$29:$C$35</definedName>
    <definedName name="Est_BandaPeloton">Método!$C$23</definedName>
    <definedName name="Var_N">_motor!$B$3</definedName>
    <definedName name="Ind_Preguntas">_motor!$B$4</definedName>
    <definedName name="Ind_NoNulas">_motor!$B$5</definedName>
    <definedName name="Ind_Potenciales">_motor!$B$6</definedName>
    <definedName name="Ind_Densidad">_motor!$B$7</definedName>
    <definedName name="Res_Codigo">_directos!$A$6:$A$30</definedName>
    <definedName name="Res_Nombre">_directos!$B$6:$B$30</definedName>
    <definedName name="Res_Motricidad">_directos!$C$6:$C$30</definedName>
    <definedName name="Res_Dependencia">_directos!$D$6:$D$30</definedName>
    <definedName name="Res_RangoMot">_directos!$G$6:$G$30</definedName>
    <definedName name="Res_RangoDep">_directos!$H$6:$H$30</definedName>
    <definedName name="Res_Tipologia">_directos!$I$6:$I$30</definedName>
    <definedName name="Ind_Motricidad">_indirectos!$C$6:$C$30</definedName>
    <definedName name="Ind_Dependencia">_indirectos!$D$6:$D$30</definedName>
    <definedName name="Ind_RangoMot">_indirectos!$G$6:$G$30</definedName>
    <definedName name="Ind_Tipologia">_indirectos!$I$6:$I$30</definedName>
    <definedName name="Pot_Motricidad">_potenciales!$C$6:$C$30</definedName>
    <definedName name="Pot_Dependencia">_potenciales!$D$6:$D$30</definedName>
  </definedNames>
  <calcPr calcId="191029" iterateDelta="1E-4"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<sst xmlns="http://schemas.openxmlformats.org/spreadsheetml/2006/main" count="705" uniqueCount="634">
  <si>
    <t>INTELLIGENCE ANALYST TOOLKIT</t>
  </si>
  <si>
    <t>ANÁLISIS ESTRUCTURAL MICMAC</t>
  </si>
  <si>
    <t>Matriz de Impactos Cruzados — Multiplicación Aplicada a una Clasificación</t>
  </si>
  <si>
    <t>Módulo 01  ·  Versión 2.0  ·  Capacidad: 80 variables</t>
  </si>
  <si>
    <t>Herramienta de análisis estructural conforme a la metodología de Michel Godet, desarrollada según el Cahier LIPSOR SR-10 (Godet, Durance y Gerber, 2008).</t>
  </si>
  <si>
    <t>ÍNDICE DE NAVEGACIÓN</t>
  </si>
  <si>
    <t>Bloque 0 — Presentación</t>
  </si>
  <si>
    <t>01 Guía de uso paso a paso</t>
  </si>
  <si>
    <t>02 Metodología, escala, fórmulas y límites</t>
  </si>
  <si>
    <t>Bloque 1 — Encuadre del estudio</t>
  </si>
  <si>
    <t>03 Proyecto</t>
  </si>
  <si>
    <t>04 Panel de expertos</t>
  </si>
  <si>
    <t>05 Bibliografía</t>
  </si>
  <si>
    <t>Bloque 2 — Datos</t>
  </si>
  <si>
    <t>06 Variables</t>
  </si>
  <si>
    <t>07 Matriz MID (escala 0-4)</t>
  </si>
  <si>
    <t>08 Justificación de las relaciones</t>
  </si>
  <si>
    <t>Bloque 3 — Resultados</t>
  </si>
  <si>
    <t>09 Resultados directos</t>
  </si>
  <si>
    <t>10 Resultados indirectos</t>
  </si>
  <si>
    <t>11 Resultados potenciales</t>
  </si>
  <si>
    <t>12 Comparativa y convergencia</t>
  </si>
  <si>
    <t>13 Planos de influencia-dependencia</t>
  </si>
  <si>
    <t>14 Sensibilidad y robustez</t>
  </si>
  <si>
    <t>Bloque 4 — Explotación</t>
  </si>
  <si>
    <t>15 Interpretación</t>
  </si>
  <si>
    <t>16 Panel de control</t>
  </si>
  <si>
    <t>17 Informe ejecutivo</t>
  </si>
  <si>
    <t>18 Asistente IA</t>
  </si>
  <si>
    <t>Bloque 5 — Control</t>
  </si>
  <si>
    <t>19 Registro de cambios</t>
  </si>
  <si>
    <t>20 Control de calidad</t>
  </si>
  <si>
    <t>AVISO METODOLÓGICO</t>
  </si>
  <si>
    <t>Los resultados de un análisis estructural no deben tomarse como dogma, sino como medio de reflexión colectiva. No existe una lectura oficial de los resultados de MICMAC: el grupo de trabajo debe determinar su propia interpretación. El análisis estructural no es la realidad, sino una representación abstracta y subjetiva de ella (Godet, Durance y Gerber, 2008).</t>
  </si>
  <si>
    <t>GUÍA DE USO</t>
  </si>
  <si>
    <t>Lea esta hoja antes de empezar. No necesita conocimientos previos de MICMAC.</t>
  </si>
  <si>
    <t>¿QUÉ HACE ESTA HERRAMIENTA Y PARA QUÉ SIRVE?</t>
  </si>
  <si>
    <t>Imagine que quiere entender un sistema complejo: la seguridad de una frontera, el mercado de un sector, la estabilidad de una región. Ese sistema tiene muchos elementos que se influyen entre sí. La pregunta difícil no es cuáles son, sino cuáles MANDAN. Sobre qué elementos hay que actuar para mover el sistema, y cuáles son simples síntomas que se moverán solos cuando cambien los demás.</t>
  </si>
  <si>
    <t>MICMAC responde a esa pregunta. Usted describe las relaciones de influencia entre los elementos y la herramienta calcula cuáles son realmente determinantes, incluyendo influencias que no se ven a simple vista porque actúan a través de terceros elementos.</t>
  </si>
  <si>
    <t>La idea central en una frase: si A influye sobre B y B influye sobre C, entonces A influye sobre C aunque nadie lo haya escrito. MICMAC hace visibles esas cadenas ocultas.</t>
  </si>
  <si>
    <t>FLUJO DE TRABAJO — SIGA ESTE ORDEN</t>
  </si>
  <si>
    <t>PASO 1 · Hoja 03 PROYECTO. Identifique el estudio: título, cliente, analista, horizonte temporal y alcance. Sin esto el fichero no es un documento de trabajo trazable.</t>
  </si>
  <si>
    <t>PASO 2 · Hoja 04 EXPERTOS. Registre quién participa. El método es colectivo: la calidad del resultado depende del panel, no del cálculo.</t>
  </si>
  <si>
    <t>PASO 3 · Hoja 06 VARIABLES. Liste los elementos del sistema. Sea exhaustivo y no descarte nada a priori. Defina cada variable con precisión: esta fase condiciona todo lo demás.</t>
  </si>
  <si>
    <t>PASO 4 · Hoja 07 MID. Puntúe la influencia de cada variable sobre cada una de las demás con la escala 0-4. Hágalo en grupo, debatiendo cada relación.</t>
  </si>
  <si>
    <t>PASO 5 · Hoja 08 JUSTIFICACIÓN. Registre por qué asignó cada puntuación y en qué fuente se apoya. Hágalo SOBRE LA MARCHA, no al final: una justificación reconstruida de memoria no vale nada.</t>
  </si>
  <si>
    <t>PASO 6 · Hojas 09 a 14. Lea los resultados. No toque nada: todo se calcula solo.</t>
  </si>
  <si>
    <t>PASO 7 · Hoja 15 INTERPRETACIÓN. La herramienta propone una lectura. Usted y su equipo deben validarla, corregirla o rechazarla. La columna de validación es obligatoria.</t>
  </si>
  <si>
    <t>PASO 8 · Hojas 16 y 17. Panel de control e informe ejecutivo para el cliente.</t>
  </si>
  <si>
    <t>PASO 9 · Hoja 20 CONTROL DE CALIDAD. Verifique que el estudio está completo antes de entregarlo.</t>
  </si>
  <si>
    <t>LA ESCALA 0-4: LO MÁS IMPORTANTE QUE DEBE ENTENDER</t>
  </si>
  <si>
    <t>Para cada par de variables se pregunta: ¿influye DIRECTAMENTE la variable de la FILA sobre la de la COLUMNA?</t>
  </si>
  <si>
    <t>0 = no existe influencia directa.</t>
  </si>
  <si>
    <t>1 = influencia débil.</t>
  </si>
  <si>
    <t>2 = influencia media.</t>
  </si>
  <si>
    <t>3 = influencia fuerte.</t>
  </si>
  <si>
    <t>4 = la relación NO EXISTE HOY, pero tiene el potencial de existir en el futuro.</t>
  </si>
  <si>
    <t>El 4 es la clave prospectiva del método y la razón de ser de esta herramienta. Un 4 NO cuenta como influencia real: la plantilla lo convierte automáticamente en 0 para el análisis del sistema actual, y en 3 para el análisis del sistema potencial. Así obtiene usted dos retratos del sistema —el de hoy y el de mañana— puntuando una sola vez.</t>
  </si>
  <si>
    <t>Ejemplo. Variable A: 'Regulación europea sobre criptoactivos'. Variable B: 'Financiación de redes criminales'. Si hoy no hay regulación específica, la influencia directa es 0. Pero si la norma está en tramitación y previsiblemente afectará mucho a esa financiación, la puntuación correcta es 4. En el plano directo A aparecerá como poco influyente; en el potencial, como determinante. Esa diferencia es exactamente el hallazgo que un analista de inteligencia busca.</t>
  </si>
  <si>
    <t>CÓMO SE LEE UN PLANO MICMAC</t>
  </si>
  <si>
    <t>El plano sitúa cada variable según dos coordenadas: cuánto influye (eje vertical) y cuánto es influida (eje horizontal). De su posición se deduce su papel en el sistema. Piense en un grupo humano: hay quien manda y no recibe órdenes, quien manda pero también las recibe, quien solo obedece y quien va a su aire.</t>
  </si>
  <si>
    <t>Arriba a la izquierda — VARIABLES DE ENTRADA: influyen mucho y casi nadie las influye. Condicionan el sistema. Son la prioridad de cualquier plan de acción, porque actuar sobre ellas mueve todo lo demás.</t>
  </si>
  <si>
    <t>Arriba a la derecha — VARIABLES INTERMEDIAS o DE ENLACE: influyen mucho y son muy influidas. Son inestables por naturaleza: cualquier acción sobre ellas se propaga en cascada por todo el sistema, y no siempre de forma previsible. Son los grandes retos del estudio.</t>
  </si>
  <si>
    <t>Abajo a la derecha — VARIABLES RESULTADO: influyen poco y son muy influidas. Son las salidas del sistema. No sirven para actuar, sirven para medir: son sus indicadores de evolución.</t>
  </si>
  <si>
    <t>Abajo a la izquierda — VARIABLES EXCLUIDAS o AUTÓNOMAS: ni influyen ni son influidas. Suelen describir tendencias inerciales. Excluirlas tiene pocas consecuencias para el análisis.</t>
  </si>
  <si>
    <t>En el centro — ZONA DE PELOTÓN: variables agrupadas cerca del punto medio, que no son suficientemente influyentes ni dependientes como para clasificarlas con seguridad. Sobre ellas NO CABE EXTRAER CONCLUSIONES DEFINITIVAS, y la herramienta se lo dirá expresamente en lugar de fingir una clasificación. Esta honestidad es deliberada: una variable que está una décima por encima del umbral no merece la misma confianza que una que está quince puntos por encima.</t>
  </si>
  <si>
    <t>QUÉ SIGNIFICA 'VARIABLE OCULTA' Y POR QUÉ ES EL HALLAZGO MÁS VALIOSO</t>
  </si>
  <si>
    <t>Cuando la herramienta compara la clasificación directa con la indirecta, algunas variables suben muchas posiciones. Son las variables ocultas: elementos que parecían secundarios pero que, a través de cadenas de influencia indirecta, gobiernan el sistema.</t>
  </si>
  <si>
    <t>El caso histórico que ilustra su valor procede del estudio prospectivo realizado en 1972 para la industria nuclear francesa. La variable relativa a los problemas de emplazamiento de las centrales pasó del puesto 32 en la clasificación directa al puesto 10 en la clasificación MICMAC. Una década más tarde, la oposición vecinal a la instalación de centrales se convirtió en el problema real de Electricité de France. El método permitió anticiparlo casi diez años antes (Godet, Durance y Gerber, 2008).</t>
  </si>
  <si>
    <t>Entre el 10 % y el 20 % de los resultados de un análisis estructural suelen ser contraintuitivos. Si en su estudio no aparece ninguna sorpresa, sospeche: probablemente la matriz se rellenó de forma mecánica.</t>
  </si>
  <si>
    <t>CÓDIGO DE COLORES</t>
  </si>
  <si>
    <t>AMARILLO CLARO: celdas que debe rellenar usted. Son las únicas desbloqueadas.</t>
  </si>
  <si>
    <t>GRIS OSCURO: diagonal de la matriz, fijada a 0. Una variable no se influye a sí misma.</t>
  </si>
  <si>
    <t>GRIS CLARO: resultados calculados automáticamente. Están protegidos.</t>
  </si>
  <si>
    <t>Las hojas están protegidas sin contraseña efectiva (clave: IAT) para evitar sobrescrituras accidentales de las fórmulas. Puede desprotegerlas si necesita adaptar la herramienta, pero hágalo con conocimiento.</t>
  </si>
  <si>
    <t>REQUISITOS TÉCNICOS</t>
  </si>
  <si>
    <t>La plantilla utiliza fórmulas matriciales clásicas (MMULT) compatibles con Excel 2010 y posteriores, Excel 365 y LibreOffice Calc. No utiliza macros ni VBA, por lo que puede emplearse en entornos con restricciones de seguridad que impidan ejecutar código.</t>
  </si>
  <si>
    <t>Si modifica el número de variables, no necesita tocar ninguna fórmula: la herramienta detecta automáticamente cuántas variables activas hay y ajusta todos los umbrales en consecuencia.</t>
  </si>
  <si>
    <t>METODOLOGÍA, CÁLCULOS Y LÍMITES</t>
  </si>
  <si>
    <t>Documentación completa para garantizar la reproducibilidad y auditabilidad del estudio.</t>
  </si>
  <si>
    <t>1. MARCO TEÓRICO</t>
  </si>
  <si>
    <t>El análisis estructural procede de la escuela francesa de prospectiva. Su formulación original se debe a Duperrin y Godet (1973), en un trabajo realizado en el Commissariat à l'Énergie Atomique sobre la jerarquización de los elementos de un sistema, aplicado a la prospectiva del sistema de energía nuclear. Godet lo sistematizó posteriormente en el Manuel de prospective stratégique (2007).</t>
  </si>
  <si>
    <t>La plantilla implementa la formulación recogida en el Cahier LIPSOR SR-10 (Godet, Durance y Gerber, 2008), designado por el cliente como marco normativo. Toda desviación respecto de ese documento se señala expresamente en esta hoja.</t>
  </si>
  <si>
    <t>El análisis estructural se desarrolla en tres fases sucesivas: inventario de variables, descripción de las relaciones entre ellas e identificación de las variables clave.</t>
  </si>
  <si>
    <t>2. ESCALA DE VALORACIÓN (conforme al SR-10)</t>
  </si>
  <si>
    <t>Para cada par de variables se plantea si existe relación de influencia directa entre la variable i y la variable j. Se asigna 0 si no existe relación; 1 si es débil; 2 si es media; 3 si es fuerte; y 4 si la relación no existe todavía pero tiene el potencial de existir en el futuro.</t>
  </si>
  <si>
    <t>Para n variables pueden plantearse n × (n−1) preguntas. En un estudio de 70 variables son cerca de 5.000. La experiencia indica que el porcentaje ideal de llenado de la matriz ronda el 20 %.</t>
  </si>
  <si>
    <t>PRECISIÓN SOBRE EL TRATAMIENTO DEL VALOR 4. El SR-10 define el 4 como relación potencial pero no detalla su tratamiento aritmético. Esta plantilla aplica la convención del LIPSOR: en la matriz de influencias directas el 4 se computa como 0, porque una relación que no existe no puede generar influencia real hoy; en la matriz de influencias potenciales el 4 se computa como 3, es decir, se analiza el sistema bajo el supuesto de que las relaciones latentes se materializan con intensidad fuerte. ESTA CONVENCIÓN ES UNA INTERPRETACIÓN OPERATIVA, no una prescripción literal del SR-10, y se documenta aquí como exige el principio de trazabilidad metodológica.</t>
  </si>
  <si>
    <t>3. CÁLCULOS REALIZADOS, PASO A PASO</t>
  </si>
  <si>
    <t>3.1 · MATRIZ DE ENTRADA. El analista rellena una única matriz cuadrada de orden n con valores 0 a 4. La diagonal está fijada a 0 y bloqueada: una variable no se influye a sí misma.</t>
  </si>
  <si>
    <t>3.2 · DERIVACIÓN DE LAS DOS MATRICES DE TRABAJO. De la matriz de entrada se derivan automáticamente la matriz de influencias directas MID (sustituyendo 4 por 0) y la matriz de influencias potenciales MIDP (sustituyendo 4 por 3).</t>
  </si>
  <si>
    <t>3.3 · MOTRICIDAD Y DEPENDENCIA DIRECTAS. La motricidad o influencia de una variable es la suma de su fila: cuánto influye sobre las demás. La dependencia es la suma de su columna: cuánto es influida. Ejemplo: si la fila de la variable V03 contiene 3, 0, 2, 1, su motricidad es 6.</t>
  </si>
  <si>
    <t>3.4 · INFLUENCIAS INDIRECTAS. Se eleva la matriz a potencias sucesivas mediante producto matricial. La celda (i,j) de MID² recoge la suma de todos los caminos de longitud 2 entre i y j, ponderados por la intensidad de cada tramo. Ejemplo concreto: si V01 influye sobre V05 con intensidad 3, y V05 influye sobre V09 con intensidad 2, la contribución de ese camino a la celda (V01, V09) de MID² es 3 × 2 = 6. La celda suma todos los caminos posibles, no solo uno. MID³ hace lo propio con los caminos de longitud 3.</t>
  </si>
  <si>
    <t>3.5 · CLASIFICACIÓN INDIRECTA. Las motricidades y dependencias se recalculan sobre MID³, produciendo una nueva jerarquía. La comparación entre la directa y la indirecta revela las variables ocultas.</t>
  </si>
  <si>
    <t>3.6 · CLASIFICACIÓN POTENCIAL. Todo lo anterior se repite sobre MIDP, produciendo la clasificación potencial directa y la potencial indirecta. El SR-10 establece que comparar las jerarquías procedentes de las distintas clasificaciones —directa, indirecta y potencial— es una fuente rica de información.</t>
  </si>
  <si>
    <t>3.7 · UMBRAL DE CLASIFICACIÓN. Se emplea la media, calculada EXCLUSIVAMENTE sobre las variables activas. Nota matemática relevante: la media de motricidad y la media de dependencia son necesariamente idénticas, porque ambas equivalen a la suma total de la matriz dividida entre n. Por tanto el plano se corta por un único umbral, no por dos.</t>
  </si>
  <si>
    <t>3.8 · ZONA DE PELOTÓN. Se define una banda de indeterminación en torno al umbral, de amplitud configurable (por defecto ±10 % del recorrido de cada eje, medido exclusivamente sobre las variables activas, para que las filas de capacidad no utilizadas no inflen artificialmente la banda). Las variables que caen dentro de esa banda en AMBOS ejes se clasifican como pelotón, categoría sobre la que el SR-10 establece que no cabe extraer conclusiones definitivas. El parámetro es editable en la hoja 03 PROYECTO y queda registrado en el informe.</t>
  </si>
  <si>
    <t>3.9 · CONVERGENCIA. Se calculan las jerarquías de motricidad para las potencias 1, 2, 3 y 4, y se cuenta cuántas variables cambian de posición entre potencias sucesivas. Se considera que la clasificación se ha estabilizado cuando ese recuento llega a cero o se estanca. Las comparaciones en la frontera exacta de la banda se resuelven siempre del lado prudente, es decir, a favor del pelotón, para que el resultado no dependa del redondeo en coma flotante. ADVERTENCIA: no debe confundirse la convergencia con la diferencia entre clasificación directa e indirecta. Esta última no es un defecto que haya que minimizar, sino el hallazgo del método: mide la intensidad del efecto indirecto.</t>
  </si>
  <si>
    <t>4. TIPOLOGÍA DE VARIABLES SEGÚN EL SR-10 (cinco categorías)</t>
  </si>
  <si>
    <t>VARIABLES DE ENTRADA: muy influyentes y poco dependientes. Describen el sistema y condicionan su dinámica. Deben considerarse prioritarias al elaborar planes estratégicos de acción.</t>
  </si>
  <si>
    <t>VARIABLES INTERMEDIAS o DE ENLACE: muy influyentes y muy dependientes. Inestables por naturaleza: toda acción sobre ellas se propaga en cascada por el resto del sistema y afecta profundamente a su dinámica.</t>
  </si>
  <si>
    <t>VARIABLES RESULTADO: poco influyentes y muy dependientes. Su comportamiento explica los impactos producidos por las variables de entrada e intermedias.</t>
  </si>
  <si>
    <t>VARIABLES EXCLUIDAS: ni influyentes ni dependientes. Tienen escaso impacto sobre el sistema; a menudo describen tendencias inerciales o son simplemente autónomas. Excluirlas tiene pocas consecuencias.</t>
  </si>
  <si>
    <t>VARIABLES DE PELOTÓN: agrupadas en el centro, no son suficientemente influyentes ni dependientes como para incluirse en las categorías anteriores. No cabe extraer conclusiones definitivas sobre ellas.</t>
  </si>
  <si>
    <t>5. TIPOLOGÍA AMPLIADA — ADVERTENCIA EXPRESA DE DESVIACIÓN</t>
  </si>
  <si>
    <t>La plantilla ofrece, en una columna separada y claramente rotulada, una tipología ampliada de siete zonas que incluye las categorías de palanca secundaria, objetivo y reguladora.</t>
  </si>
  <si>
    <t>DEBE SABERSE QUE ESTAS CATEGORÍAS NO FIGURAN EN EL SR-10. Se ha verificado el documento completo: solo recoge las cinco categorías del apartado anterior. La tipología ampliada procede del Manuel de prospective stratégique (Godet, 2007) y de la implementación del software MICMAC del LIPSOR.</t>
  </si>
  <si>
    <t>Se incorpora porque aporta granularidad analítica útil y es la que el usuario profesional espera del software oficial, pero se presenta SEPARADA de la clasificación SR-10 para que el analista sepa en todo momento qué parte de la lectura es doctrina del documento de referencia y qué parte es extensión.</t>
  </si>
  <si>
    <t>Reglas geométricas aplicadas, explicitadas para garantizar la reproducibilidad: siendo U el umbral, se clasifica como determinante o de entorno si la motricidad supera U y la dependencia es inferior a 0,5·U; como palanca secundaria si la motricidad supera U y la dependencia se sitúa entre 0,5·U y U; como objetivo si la dependencia supera U y la motricidad se sitúa entre 0,5·U y U; como resultado si la dependencia supera U y la motricidad es inferior a 0,5·U; y como reguladora si la variable cae dentro de la banda de pelotón. El corte en 0,5·U es una convención de esta implementación, no un valor canónico.</t>
  </si>
  <si>
    <t>6. LÍMITES Y MARGEN DE ERROR</t>
  </si>
  <si>
    <t>MICMAC NO ES UN MÉTODO INFERENCIAL. No produce intervalos de confianza, ni p-valores, ni error muestral. Es una técnica de estructuración del juicio experto. Preguntar por su margen de error en sentido estadístico es una pregunta mal planteada; lo procedente es preguntar por su robustez.</t>
  </si>
  <si>
    <t>El error aritmético de esta plantilla es nulo. Todos los cálculos se realizan con aritmética entera exacta y han sido verificados celda a celda contra un cálculo matricial independiente. No hay redondeo ni aproximación en ningún punto de la cadena.</t>
  </si>
  <si>
    <t>Los límites del análisis estructural conciernen principalmente a la naturaleza subjetiva de los datos de entrada: la lista de variables elaborada en la primera fase y las relaciones entre ellas determinadas por el equipo. El análisis estructural no es la realidad en sí, sino un modo de representarla de forma abstracta y subjetiva; el propio análisis es subjetivo. No obstante, el carácter participativo del proceso reduce los sesgos individuales y permite llegar a un modelo de la realidad muy superior al que habría producido un individuo aislado (Godet, Durance y Gerber, 2008).</t>
  </si>
  <si>
    <t>En consecuencia, la robustez de un estudio concreto se acredita por tres vías, todas ellas soportadas por esta plantilla: la convergencia de la clasificación al elevar la matriz a potencias sucesivas (hoja 12); el análisis de sensibilidad, que mide cuántos puntos de la matriz habría que modificar para que una variable cambiara de clasificación (hoja 14); y la trazabilidad documental de cada valoración (hoja 08), que permite a un tercero auditar el razonamiento y no solo el resultado.</t>
  </si>
  <si>
    <t>Advertencia final, que el SR-10 formula con especial énfasis: los datos derivados del análisis estructural no deben tomarse como dogma, sino como medio para una reflexión más profunda. No existe un análisis oficial de los datos derivados de MICMAC: el grupo debe determinar su propia interpretación.</t>
  </si>
  <si>
    <t>7. REFERENCIAS (APA 7.ª edición)</t>
  </si>
  <si>
    <t>Duperrin, J. C. y Godet, M. (1973). Méthode de hiérarchisation des éléments d'un système: essai de prospective du système de l'énergie nucléaire dans son contexte sociétal (Rapport CEA-R-4541). Commissariat à l'Énergie Atomique.</t>
  </si>
  <si>
    <t>Godet, M. (2007). Manuel de prospective stratégique (3.ª ed., 2 vols.). Dunod.</t>
  </si>
  <si>
    <t>Godet, M., Durance, P. y Gerber, A. (2008). Strategic foresight — La prospective: Use and misuse of scenario building (Cahiers du LIPSOR, Research Working Paper n.º 10). CNAM/LIPSOR.</t>
  </si>
  <si>
    <t>Godet, M. y Durance, P. (2011). La prospective stratégique pour les entreprises et les territoires (2.ª ed.). Dunod/UNESCO.</t>
  </si>
  <si>
    <t>IDENTIFICACIÓN DEL ESTUDIO</t>
  </si>
  <si>
    <t>Rellene las celdas amarillas. Estos datos alimentan el informe ejecutivo.</t>
  </si>
  <si>
    <t>Título del estudio</t>
  </si>
  <si>
    <t>Organismo / cliente</t>
  </si>
  <si>
    <t>Unidad solicitante</t>
  </si>
  <si>
    <t>Analista responsable</t>
  </si>
  <si>
    <t>Equipo de análisis</t>
  </si>
  <si>
    <t>Organización ejecutora</t>
  </si>
  <si>
    <t>Fecha de inicio</t>
  </si>
  <si>
    <t>Fecha de cierre</t>
  </si>
  <si>
    <t>Objetivo del estudio</t>
  </si>
  <si>
    <t>Pregunta de inteligencia</t>
  </si>
  <si>
    <t>Horizonte temporal</t>
  </si>
  <si>
    <t>Alcance y delimitación del sistema</t>
  </si>
  <si>
    <t>Exclusiones expresas</t>
  </si>
  <si>
    <t>Clasificación de seguridad</t>
  </si>
  <si>
    <t>Versión del estudio</t>
  </si>
  <si>
    <t>Estado</t>
  </si>
  <si>
    <t>PARÁMETROS METODOLÓGICOS CONFIGURABLES</t>
  </si>
  <si>
    <t>Amplitud de la banda de pelotón</t>
  </si>
  <si>
    <t>Porcentaje del recorrido de cada eje que define la zona central de indeterminación. Valor por defecto: 10 %. Ampliarlo hace la herramienta más prudente (más variables sin clasificar); reducirlo la hace más asertiva. Todo cambio queda documentado en el informe.</t>
  </si>
  <si>
    <t>Potencia de estabilización aplicada</t>
  </si>
  <si>
    <t>MID³ (con verificación hasta MID⁴)</t>
  </si>
  <si>
    <t>Convención para el valor 4</t>
  </si>
  <si>
    <t>MID: 4→0  ·  MIDP: 4→3  (convención LIPSOR, ver hoja 02)</t>
  </si>
  <si>
    <t>PANEL DE EXPERTOS</t>
  </si>
  <si>
    <t>El método es colectivo. La validez del estudio depende del panel, no del cálculo.</t>
  </si>
  <si>
    <t>Código</t>
  </si>
  <si>
    <t>Nombre y apellidos</t>
  </si>
  <si>
    <t>Especialidad</t>
  </si>
  <si>
    <t>Organización</t>
  </si>
  <si>
    <t>Años de experiencia</t>
  </si>
  <si>
    <t>Rol en el estudio</t>
  </si>
  <si>
    <t>Fase 1 (variables)</t>
  </si>
  <si>
    <t>Fase 2 (matriz)</t>
  </si>
  <si>
    <t>Contacto</t>
  </si>
  <si>
    <t>Observaciones</t>
  </si>
  <si>
    <t>E01</t>
  </si>
  <si>
    <t>E02</t>
  </si>
  <si>
    <t>E03</t>
  </si>
  <si>
    <t>E04</t>
  </si>
  <si>
    <t>E05</t>
  </si>
  <si>
    <t>E06</t>
  </si>
  <si>
    <t>E07</t>
  </si>
  <si>
    <t>E08</t>
  </si>
  <si>
    <t>E09</t>
  </si>
  <si>
    <t>E10</t>
  </si>
  <si>
    <t>E11</t>
  </si>
  <si>
    <t>E12</t>
  </si>
  <si>
    <t>E13</t>
  </si>
  <si>
    <t>E14</t>
  </si>
  <si>
    <t>E15</t>
  </si>
  <si>
    <t>E16</t>
  </si>
  <si>
    <t>E17</t>
  </si>
  <si>
    <t>E18</t>
  </si>
  <si>
    <t>E19</t>
  </si>
  <si>
    <t>E20</t>
  </si>
  <si>
    <t>E21</t>
  </si>
  <si>
    <t>E22</t>
  </si>
  <si>
    <t>E23</t>
  </si>
  <si>
    <t>E24</t>
  </si>
  <si>
    <t>E25</t>
  </si>
  <si>
    <t>E26</t>
  </si>
  <si>
    <t>E27</t>
  </si>
  <si>
    <t>E28</t>
  </si>
  <si>
    <t>E29</t>
  </si>
  <si>
    <t>E30</t>
  </si>
  <si>
    <t>FUENTES DOCUMENTALES</t>
  </si>
  <si>
    <t>Sin fuentes, el análisis es opinión estructurada, no inteligencia. Formato de referencia: APA 7.ª ed.</t>
  </si>
  <si>
    <t>Ref.</t>
  </si>
  <si>
    <t>Autor / organismo</t>
  </si>
  <si>
    <t>Año</t>
  </si>
  <si>
    <t>Título del documento</t>
  </si>
  <si>
    <t>Tipo de fuente</t>
  </si>
  <si>
    <t>Enlace o localización</t>
  </si>
  <si>
    <t>Fiabilidad de la fuente</t>
  </si>
  <si>
    <t>Fecha de consulta</t>
  </si>
  <si>
    <t>B01</t>
  </si>
  <si>
    <t>B02</t>
  </si>
  <si>
    <t>B03</t>
  </si>
  <si>
    <t>B04</t>
  </si>
  <si>
    <t>B05</t>
  </si>
  <si>
    <t>B06</t>
  </si>
  <si>
    <t>B07</t>
  </si>
  <si>
    <t>B08</t>
  </si>
  <si>
    <t>B09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</si>
  <si>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</si>
  <si>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</si>
  <si>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</si>
  <si>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</si>
  <si>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</si>
  <si>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</si>
  <si>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</si>
  <si>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</si>
  <si>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</si>
  <si>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</si>
  <si>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</si>
  <si>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</si>
  <si>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</si>
  <si>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</si>
  <si>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</si>
  <si>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</si>
  <si>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</si>
  <si>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</si>
  <si>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</si>
  <si>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</si>
  <si>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</si>
  <si>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</si>
  <si>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</si>
  <si>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</si>
  <si>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</si>
  <si>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</si>
  <si>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</si>
  <si>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</si>
  <si>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</si>
  <si>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B39</t>
  </si>
  <si>
    <t>B40</t>
  </si>
  <si>
    <t>B41</t>
  </si>
  <si>
    <t>B42</t>
  </si>
  <si>
    <t>B43</t>
  </si>
  <si>
    <t>B44</t>
  </si>
  <si>
    <t>B45</t>
  </si>
  <si>
    <t>B46</t>
  </si>
  <si>
    <t>B47</t>
  </si>
  <si>
    <t>B48</t>
  </si>
  <si>
    <t>B49</t>
  </si>
  <si>
    <t>B50</t>
  </si>
  <si>
    <t>B51</t>
  </si>
  <si>
    <t>B52</t>
  </si>
  <si>
    <t>B53</t>
  </si>
  <si>
    <t>B54</t>
  </si>
  <si>
    <t>B55</t>
  </si>
  <si>
    <t>B56</t>
  </si>
  <si>
    <t>B57</t>
  </si>
  <si>
    <t>B58</t>
  </si>
  <si>
    <t>B59</t>
  </si>
  <si>
    <t>B60</t>
  </si>
  <si>
    <t>INVENTARIO DE VARIABLES DEL SISTEMA</t>
  </si>
  <si>
    <t>Sea exhaustivo y no descarte nada a priori. La definición precisa de cada variable condiciona todo el análisis.</t>
  </si>
  <si>
    <t>IMPORTANTE: escriba el nombre corto en la columna C. La herramienta detecta automáticamente cuántas variables hay activas contando esa columna, y ajusta todos los umbrales en consecuencia. Deje vacías las filas que no utilice: no distorsionarán ningún cálculo.</t>
  </si>
  <si>
    <t>Nº</t>
  </si>
  <si>
    <t>Variable (nombre corto)</t>
  </si>
  <si>
    <t>Descripción</t>
  </si>
  <si>
    <t>Definición operacional</t>
  </si>
  <si>
    <t>Indicadores</t>
  </si>
  <si>
    <t>Unidad de análisis</t>
  </si>
  <si>
    <t>Fuente (ref. hoja 05)</t>
  </si>
  <si>
    <t>Tendencia observada</t>
  </si>
  <si>
    <t>Posibles rupturas futuras</t>
  </si>
  <si>
    <t>Dimensión / tema</t>
  </si>
  <si>
    <t>Experto responsable</t>
  </si>
  <si>
    <t>V01</t>
  </si>
  <si>
    <t>V02</t>
  </si>
  <si>
    <t>V03</t>
  </si>
  <si>
    <t>V04</t>
  </si>
  <si>
    <t>V05</t>
  </si>
  <si>
    <t>V06</t>
  </si>
  <si>
    <t>V07</t>
  </si>
  <si>
    <t>V08</t>
  </si>
  <si>
    <t>V09</t>
  </si>
  <si>
    <t>V10</t>
  </si>
  <si>
    <t>V11</t>
  </si>
  <si>
    <t>V12</t>
  </si>
  <si>
    <t>V13</t>
  </si>
  <si>
    <t>V14</t>
  </si>
  <si>
    <t>V15</t>
  </si>
  <si>
    <t>V16</t>
  </si>
  <si>
    <t>V17</t>
  </si>
  <si>
    <t>V18</t>
  </si>
  <si>
    <t>V19</t>
  </si>
  <si>
    <t>V20</t>
  </si>
  <si>
    <t>V21</t>
  </si>
  <si>
    <t>V22</t>
  </si>
  <si>
    <t>V23</t>
  </si>
  <si>
    <t>V24</t>
  </si>
  <si>
    <t>V25</t>
  </si>
  <si>
    <t>V26</t>
  </si>
  <si>
    <t>V27</t>
  </si>
  <si>
    <t>V28</t>
  </si>
  <si>
    <t>V29</t>
  </si>
  <si>
    <t>V30</t>
  </si>
  <si>
    <t>V31</t>
  </si>
  <si>
    <t>V32</t>
  </si>
  <si>
    <t>V33</t>
  </si>
  <si>
    <t>V34</t>
  </si>
  <si>
    <t>V35</t>
  </si>
  <si>
    <t>V36</t>
  </si>
  <si>
    <t>V37</t>
  </si>
  <si>
    <t>V38</t>
  </si>
  <si>
    <t>V39</t>
  </si>
  <si>
    <t>V40</t>
  </si>
  <si>
    <t>V41</t>
  </si>
  <si>
    <t>V42</t>
  </si>
  <si>
    <t>V43</t>
  </si>
  <si>
    <t>V44</t>
  </si>
  <si>
    <t>V45</t>
  </si>
  <si>
    <t>V46</t>
  </si>
  <si>
    <t>V47</t>
  </si>
  <si>
    <t>V48</t>
  </si>
  <si>
    <t>V49</t>
  </si>
  <si>
    <t>V50</t>
  </si>
  <si>
    <t>V51</t>
  </si>
  <si>
    <t>V52</t>
  </si>
  <si>
    <t>V53</t>
  </si>
  <si>
    <t>V54</t>
  </si>
  <si>
    <t>V55</t>
  </si>
  <si>
    <t>V56</t>
  </si>
  <si>
    <t>V57</t>
  </si>
  <si>
    <t>V58</t>
  </si>
  <si>
    <t>V59</t>
  </si>
  <si>
    <t>V60</t>
  </si>
  <si>
    <t>V61</t>
  </si>
  <si>
    <t>V62</t>
  </si>
  <si>
    <t>V63</t>
  </si>
  <si>
    <t>V64</t>
  </si>
  <si>
    <t>V65</t>
  </si>
  <si>
    <t>V66</t>
  </si>
  <si>
    <t>V67</t>
  </si>
  <si>
    <t>V68</t>
  </si>
  <si>
    <t>V69</t>
  </si>
  <si>
    <t>V70</t>
  </si>
  <si>
    <t>V71</t>
  </si>
  <si>
    <t>V72</t>
  </si>
  <si>
    <t>V73</t>
  </si>
  <si>
    <t>V74</t>
  </si>
  <si>
    <t>V75</t>
  </si>
  <si>
    <t>V76</t>
  </si>
  <si>
    <t>V77</t>
  </si>
  <si>
    <t>V78</t>
  </si>
  <si>
    <t>V79</t>
  </si>
  <si>
    <t>V80</t>
  </si>
  <si>
    <t>MATRIZ DE INFLUENCIAS DIRECTAS (MID) — ESCALA 0-4</t>
  </si>
  <si>
    <t>¿Influye DIRECTAMENTE la variable de la FILA sobre la de la COLUMNA?   0 = ninguna · 1 = débil · 2 = media · 3 = fuerte · 4 = potencial (no existe hoy, puede existir mañana)</t>
  </si>
  <si>
    <t>El 4 NO cuenta como influencia real: se convierte automáticamente en 0 para el análisis directo y en 3 para el potencial. Diagonal bloqueada a 0.</t>
  </si>
  <si>
    <t>Cód.</t>
  </si>
  <si>
    <t>Fila influye sobre columna →</t>
  </si>
  <si>
    <t>CONTROL DE LLENADO</t>
  </si>
  <si>
    <t>Variables activas</t>
  </si>
  <si>
    <t>Preguntas posibles  n × (n-1)</t>
  </si>
  <si>
    <t>Relaciones valoradas (≠0)</t>
  </si>
  <si>
    <t>Relaciones potenciales (valor 4)</t>
  </si>
  <si>
    <t>Densidad de la matriz</t>
  </si>
  <si>
    <t>Diagnóstico de densidad</t>
  </si>
  <si>
    <t>REGISTRO DE JUSTIFICACIÓN DE LAS RELACIONES</t>
  </si>
  <si>
    <t>Sin esta hoja el estudio no es auditable: nadie podría saber por qué una celda vale 3. Rellénela SOBRE LA MARCHA.</t>
  </si>
  <si>
    <t>Seleccione origen y destino en los desplegables: el valor asignado se recupera automáticamente de la matriz. Registre una fila por cada relación no nula. El contador inferior le indica cuántas le faltan.</t>
  </si>
  <si>
    <t>Variable origen</t>
  </si>
  <si>
    <t>Variable destino</t>
  </si>
  <si>
    <t>Valor asignado</t>
  </si>
  <si>
    <t>Justificación de la valoración</t>
  </si>
  <si>
    <t>Nivel de confianza</t>
  </si>
  <si>
    <t>Experto que valora</t>
  </si>
  <si>
    <t>Fecha</t>
  </si>
  <si>
    <t>Relaciones no nulas en la matriz</t>
  </si>
  <si>
    <t>Relaciones justificadas en esta hoja</t>
  </si>
  <si>
    <t>Pendientes de justificar</t>
  </si>
  <si>
    <t>Cobertura documental</t>
  </si>
  <si>
    <t>RESULTADOS — CLASIFICACIÓN DIRECTA</t>
  </si>
  <si>
    <t>Sistema tal como es hoy. Influencias inmediatas, sin considerar cadenas ni relaciones potenciales.</t>
  </si>
  <si>
    <t>Variable</t>
  </si>
  <si>
    <t>Motricidad</t>
  </si>
  <si>
    <t>Dependencia</t>
  </si>
  <si>
    <t>% Motr.</t>
  </si>
  <si>
    <t>% Dep.</t>
  </si>
  <si>
    <t>Rank Motr.</t>
  </si>
  <si>
    <t>Rank Dep.</t>
  </si>
  <si>
    <t>Clasificación SR-10</t>
  </si>
  <si>
    <t>Tipología ampliada (extensión)</t>
  </si>
  <si>
    <t>Umbral de clasificación (media sobre variables activas)</t>
  </si>
  <si>
    <t>Amplitud de la banda de pelotón (± sobre el umbral)</t>
  </si>
  <si>
    <t>Nota</t>
  </si>
  <si>
    <t>La media de motricidad y la de dependencia son idénticas por construcción: ambas equivalen al total de la matriz dividido entre n. Por eso el plano se corta por un único umbral.</t>
  </si>
  <si>
    <t>RESULTADOS — CLASIFICACIÓN INDIRECTA (MID³)</t>
  </si>
  <si>
    <t>Incorpora las cadenas de influencia a través de terceras variables. Aquí aparecen las variables ocultas.</t>
  </si>
  <si>
    <t>Δ posiciones vs. directa</t>
  </si>
  <si>
    <t>Diagnóstico</t>
  </si>
  <si>
    <t>RESULTADOS — CLASIFICACIÓN POTENCIAL DIRECTA (MIDP)</t>
  </si>
  <si>
    <t>Sistema tal como sería si las relaciones latentes (valor 4) llegaran a materializarse.</t>
  </si>
  <si>
    <t>COMPARATIVA DE LAS CUATRO CLASIFICACIONES Y CONVERGENCIA</t>
  </si>
  <si>
    <t>Comparar las jerarquías procedentes de las distintas clasificaciones es, según el SR-10, una fuente rica de información.</t>
  </si>
  <si>
    <t>Rank directo</t>
  </si>
  <si>
    <t>Rank indirecto</t>
  </si>
  <si>
    <t>Rank pot. directo</t>
  </si>
  <si>
    <t>Rank pot. indirecto</t>
  </si>
  <si>
    <t>Δ dir→ind</t>
  </si>
  <si>
    <t>Δ dir→pot</t>
  </si>
  <si>
    <t>Clasificación directa</t>
  </si>
  <si>
    <t>Clasificación potencial indirecta</t>
  </si>
  <si>
    <t>¿Cambia de categoría?</t>
  </si>
  <si>
    <t>Lectura sugerida</t>
  </si>
  <si>
    <t>ANÁLISIS DE CONVERGENCIA — ¿SE HA ESTABILIZADO LA CLASIFICACIÓN?</t>
  </si>
  <si>
    <t>Variables que cambian de puesto entre MID¹ y MID²</t>
  </si>
  <si>
    <t>Variables que cambian de puesto entre MID² y MID³</t>
  </si>
  <si>
    <t>Variables que cambian de puesto entre MID³ y MID⁴</t>
  </si>
  <si>
    <t>Diagnóstico de convergencia</t>
  </si>
  <si>
    <t>ADVERTENCIA METODOLÓGICA. No confunda la convergencia con la diferencia entre la clasificación directa y la indirecta. La convergencia mide si la jerarquía se estabiliza al elevar la matriz a potencias sucesivas, y es un requisito técnico. La diferencia directa-indirecta, en cambio, NO es un defecto que haya que minimizar: es precisamente el hallazgo del método. Si ambas clasificaciones coincidieran, MICMAC no aportaría nada sobre la simple suma de filas.</t>
  </si>
  <si>
    <t>PLANOS DE INFLUENCIA — DEPENDENCIA</t>
  </si>
  <si>
    <t>Eje horizontal: dependencia. Eje vertical: influencia (motricidad). Cada color corresponde a una categoría del SR-10.</t>
  </si>
  <si>
    <t>Datos del plano directo</t>
  </si>
  <si>
    <t>Cód</t>
  </si>
  <si>
    <t>1 · Entrada / determinante</t>
  </si>
  <si>
    <t>2 · Intermedia / de enlace</t>
  </si>
  <si>
    <t>3 · Resultado</t>
  </si>
  <si>
    <t>4 · Excluida / autónoma</t>
  </si>
  <si>
    <t>5 · Pelotón (no concluyente)</t>
  </si>
  <si>
    <t>Datos del plano indirecto</t>
  </si>
  <si>
    <t>Datos del plano potencial</t>
  </si>
  <si>
    <t>CÓMO LEER ESTOS PLANOS Y CÓMO IDENTIFICAR CADA PUNTO</t>
  </si>
  <si>
    <t>Los colores distinguen las cinco categorías del SR-10, de modo que la estructura del sistema se aprecia de un vistazo: verde son las variables de entrada, naranja las de enlace, azul las resultado, gris las excluidas y amarillo el pelotón.</t>
  </si>
  <si>
    <t>Para identificar un punto concreto, cruce sus coordenadas con las tablas de las hojas 09, 10 y 11, que están ordenadas por código. Si desea rotular los puntos con el nombre de la variable directamente sobre el gráfico, haga clic derecho sobre una serie, elija 'Agregar etiquetas de datos', vuelva a hacer clic derecho sobre las etiquetas, seleccione 'Formato de etiquetas de datos' y marque la opción 'Valor de las celdas', indicando el rango de códigos de la columna A de esta hoja. Es una operación de tres clics que el formato .xlsx no permite dejar preconfigurada sin recurrir a macros, y esta plantilla no utiliza macros deliberadamente, para que pueda emplearse en entornos con restricciones de seguridad.</t>
  </si>
  <si>
    <t>La comparación entre los tres planos es más informativa que cualquiera de ellos por separado: observe qué variables se desplazan de un cuadrante a otro al pasar del directo al indirecto y de éste al potencial.</t>
  </si>
  <si>
    <t>ANÁLISIS DE SENSIBILIDAD Y ROBUSTEZ</t>
  </si>
  <si>
    <t>MICMAC no tiene margen de error estadístico. Esta hoja lo sustituye por la pregunta operativa correcta: ¿cuánto tendría que equivocarse el panel para que la conclusión cambiara?</t>
  </si>
  <si>
    <t>El margen es la distancia entre el valor de la variable y el umbral de clasificación. Los 'puntos MID' indican cuántas unidades de la escala 0-4 habría que modificar en la matriz para que la variable cruzase el umbral y cambiara de categoría. Un valor de 1 significa que basta con que un experto cambie de opinión en una sola celda: la conclusión no es robusta.</t>
  </si>
  <si>
    <t>Margen de motricidad</t>
  </si>
  <si>
    <t>Margen de dependencia</t>
  </si>
  <si>
    <t>Puntos MID para reclasificar</t>
  </si>
  <si>
    <t>Robustez</t>
  </si>
  <si>
    <t>Lectura</t>
  </si>
  <si>
    <t>SÍNTESIS DE ROBUSTEZ DEL ESTUDIO</t>
  </si>
  <si>
    <t>Variables con clasificación frágil (robustez baja)</t>
  </si>
  <si>
    <t>Variables con clasificación sensible (robustez media)</t>
  </si>
  <si>
    <t>Variables con clasificación sólida o muy sólida</t>
  </si>
  <si>
    <t>Porcentaje del sistema con clasificación robusta</t>
  </si>
  <si>
    <t>Cómo utilizar esta hoja en la práctica. Antes de redactar conclusiones, localice las variables con robustez baja y llévelas de vuelta al panel de expertos: son exactamente aquellas sobre las que conviene volver a debatir. Un estudio en el que más del 30 % de las variables tengan clasificación frágil no debería presentarse como concluyente, sino como exploratorio.</t>
  </si>
  <si>
    <t>INTERPRETACIÓN</t>
  </si>
  <si>
    <t>La herramienta propone una LECTURA, no una conclusión. El SR-10 establece que no existe análisis oficial de los datos de MICMAC y que el grupo debe determinar su propia interpretación. La validación del equipo es obligatoria.</t>
  </si>
  <si>
    <t>Las columnas D a I son hipótesis de lectura generadas automáticamente a partir de la posición de cada variable. Las columnas J, K y L son de cumplimentación obligatoria por el equipo: mientras estén vacías, el estudio figurará como incompleto en la hoja 20 de control de calidad.</t>
  </si>
  <si>
    <t>Clasificación</t>
  </si>
  <si>
    <t>Significado</t>
  </si>
  <si>
    <t>Implicaciones</t>
  </si>
  <si>
    <t>Riesgos</t>
  </si>
  <si>
    <t>Prioridad</t>
  </si>
  <si>
    <t>Seguimiento</t>
  </si>
  <si>
    <t>Actuación sugerida</t>
  </si>
  <si>
    <t>INTERPRETACIÓN VALIDADA POR EL EQUIPO</t>
  </si>
  <si>
    <t>Validada por</t>
  </si>
  <si>
    <t>PANEL DE CONTROL DEL ESTUDIO</t>
  </si>
  <si>
    <t>Vista de conjunto. Todo se calcula automáticamente.</t>
  </si>
  <si>
    <t>ESTADO DEL ANÁLISIS</t>
  </si>
  <si>
    <t>1. Proyecto identificado</t>
  </si>
  <si>
    <t>2. Panel de expertos registrado</t>
  </si>
  <si>
    <t>Relaciones valoradas</t>
  </si>
  <si>
    <t>3. Variables definidas</t>
  </si>
  <si>
    <t>3b. Definiciones operacionales</t>
  </si>
  <si>
    <t>4. Matriz MID valorada</t>
  </si>
  <si>
    <t>Expertos registrados</t>
  </si>
  <si>
    <t>5. Justificación de relaciones</t>
  </si>
  <si>
    <t>Fuentes documentales</t>
  </si>
  <si>
    <t>6. Convergencia verificada</t>
  </si>
  <si>
    <t>7. Interpretación validada por el equipo</t>
  </si>
  <si>
    <t>COMPOSICIÓN DEL SISTEMA — TIPOLOGÍA SR-10</t>
  </si>
  <si>
    <t>8. Bibliografía consignada</t>
  </si>
  <si>
    <t>ALERTAS DE CALIDAD</t>
  </si>
  <si>
    <t>Robustez de las clasificaciones</t>
  </si>
  <si>
    <t>Presencia de variables ocultas</t>
  </si>
  <si>
    <t>Variables aisladas (motricidad y dependencia nulas)</t>
  </si>
  <si>
    <t>VARIABLES CLAVE — LAS CINCO MÁS MOTRICES (clasificación indirecta)</t>
  </si>
  <si>
    <t>Nº 1</t>
  </si>
  <si>
    <t>Nº 2</t>
  </si>
  <si>
    <t>Nº 3</t>
  </si>
  <si>
    <t>Nº 4</t>
  </si>
  <si>
    <t>Nº 5</t>
  </si>
  <si>
    <t>INFORME EJECUTIVO</t>
  </si>
  <si>
    <t>Generado automáticamente. Revise y complete antes de entregar.</t>
  </si>
  <si>
    <t>1. IDENTIFICACIÓN</t>
  </si>
  <si>
    <t>2. OBJETIVO Y ALCANCE</t>
  </si>
  <si>
    <t>3. METODOLOGÍA APLICADA</t>
  </si>
  <si>
    <t>4. RESULTADOS PRINCIPALES</t>
  </si>
  <si>
    <t>5. ROBUSTEZ DEL ANÁLISIS</t>
  </si>
  <si>
    <t>6. LIMITACIONES</t>
  </si>
  <si>
    <t>7. CONCLUSIONES (redacción del analista)</t>
  </si>
  <si>
    <t>8. RECOMENDACIONES (redacción del analista)</t>
  </si>
  <si>
    <t>ASISTENTE DE ANÁLISIS ASISTIDO POR IA</t>
  </si>
  <si>
    <t>Prompts optimizados. Copie el texto, sustituya lo indicado entre corchetes y adjunte los datos de las hojas de resultados.</t>
  </si>
  <si>
    <t>ADVERTENCIA DE USO. Un modelo de lenguaje produce texto fluido y seguro de sí mismo con independencia de la solidez de los datos. Todos los prompts siguientes incorporan deliberadamente una instrucción de cautela epistémica para forzar al modelo a distinguir lo que se sostiene en los datos de lo que es hipótesis de lectura. No elimine esa parte. Y recuerde que ninguna salida de IA sustituye la validación del panel: el SR-10 es explícito en que no existe lectura oficial de los resultados de MICMAC.</t>
  </si>
  <si>
    <t>1. INTERPRETAR LAS VARIABLES</t>
  </si>
  <si>
    <t>Actúa como analista senior de prospectiva estratégica especializado en el método MICMAC de Michel Godet. Te facilito los resultados de un análisis estructural sobre [OBJETO DEL ESTUDIO], con horizonte [HORIZONTE]. Adjunto la tabla de variables con su motricidad, dependencia y clasificación.</t>
  </si>
  <si>
    <t>Para cada variable, interpreta su papel en el sistema en dos o tres frases, en lenguaje comprensible para un decisor no técnico. No repitas la definición de la categoría: explica qué significa para ESTE sistema concreto.</t>
  </si>
  <si>
    <t>Marca expresamente con [DATO] las afirmaciones que se deducen directamente de las cifras y con [HIPÓTESIS] las que son interpretación tuya. Si una variable está en zona de pelotón, dilo y no fuerces una lectura.</t>
  </si>
  <si>
    <t>2. ANALIZAR LAS VARIABLES CLAVE</t>
  </si>
  <si>
    <t>Actúa como analista senior en MICMAC. Te adjunto las variables clasificadas como intermedias o de enlace (alta motricidad y alta dependencia) de un análisis estructural sobre [OBJETO].</t>
  </si>
  <si>
    <t>Explica por qué cada una es un punto crítico del sistema, qué efectos en cascada cabría esperar al intervenir sobre ella y qué consecuencias no deseadas son plausibles. Ordena las variables por prioridad de intervención y justifica el orden.</t>
  </si>
  <si>
    <t>Señala expresamente los efectos que son deducibles de la estructura de la matriz y los que son conjetura.</t>
  </si>
  <si>
    <t>3. INTERPRETAR EL PLANO</t>
  </si>
  <si>
    <t>Actúa como experto en análisis estructural. Te facilito las coordenadas de motricidad y dependencia de las variables de un estudio MICMAC sobre [OBJETO], junto con el umbral de clasificación.</t>
  </si>
  <si>
    <t>Describe la morfología general del sistema: ¿está concentrado o disperso? ¿Hay una diagonal marcada, propia de sistemas inestables, o los grupos están bien diferenciados? ¿Qué variables están tan cerca del umbral que su clasificación no es fiable?</t>
  </si>
  <si>
    <t>Concluye con una caracterización del sistema en una sola frase, e indica el grado de confianza que le atribuyes.</t>
  </si>
  <si>
    <t>4. EXPLICAR LAS RELACIONES ENTRE VARIABLES</t>
  </si>
  <si>
    <t>Actúa como analista de inteligencia especializado en análisis estructural. Te adjunto un extracto de la matriz de influencias directas de un estudio sobre [OBJETO], con las relaciones valoradas.</t>
  </si>
  <si>
    <t>Identifica las cadenas de influencia más relevantes, es decir, las secuencias A→B→C con valoraciones altas en ambos tramos, y explica qué mecanismo causal plausible las sustenta.</t>
  </si>
  <si>
    <t>Distingue entre las cadenas que la matriz evidencia y los mecanismos causales que tú infieres, que son necesariamente hipotéticos.</t>
  </si>
  <si>
    <t>5. CONSTRUIR ESCENARIOS</t>
  </si>
  <si>
    <t>Actúa como experto en prospectiva estratégica. Te facilito el resultado de un análisis estructural MICMAC sobre [OBJETO], con horizonte [HORIZONTE], incluyendo la clasificación directa, la indirecta y la potencial.</t>
  </si>
  <si>
    <t>Propón tres escenarios contrastados construidos a partir de las variables de entrada y las intermedias, no de las variables resultado. Para cada escenario indica qué hipótesis asume sobre cada variable motriz, qué señales tempranas permitirían detectar que se está materializando y qué variables resultado servirían de indicador de seguimiento.</t>
  </si>
  <si>
    <t>Presta atención especial a las variables con relaciones potenciales (valor 4): son las que diferencian el escenario tendencial de los de ruptura. Advierte de que los escenarios son construcciones, no predicciones.</t>
  </si>
  <si>
    <t>6. REDACTAR CONCLUSIONES</t>
  </si>
  <si>
    <t>Actúa como analista senior redactando para un comité directivo. Te adjunto los resultados de un análisis estructural MICMAC sobre [OBJETO].</t>
  </si>
  <si>
    <t>Redacta entre cinco y siete conclusiones. Cada una debe apoyarse en un resultado concreto del análisis, que debes citar. Evita el lenguaje grandilocuente y las conclusiones que no se deriven de los datos.</t>
  </si>
  <si>
    <t>Al final, enumera expresamente aquello que el análisis NO permite concluir. Esta sección es obligatoria.</t>
  </si>
  <si>
    <t>7. DETECTAR INCONSISTENCIAS</t>
  </si>
  <si>
    <t>Actúa como auditor metodológico de análisis estructural. Te adjunto la matriz de influencias directas y la lista de variables de un estudio MICMAC sobre [OBJETO].</t>
  </si>
  <si>
    <t>Detecta posibles problemas: variables que puedan estar solapadas o midiendo lo mismo; variables definidas de forma demasiado amplia o demasiado estrecha; relaciones valoradas de forma aparentemente contradictoria; variables aisladas sin relaciones; y filas o columnas con un número anormalmente alto de valoraciones, que suelen indicar marcado por afinidad temática en lugar de influencia real.</t>
  </si>
  <si>
    <t>Formula cada hallazgo como pregunta al panel, no como afirmación.</t>
  </si>
  <si>
    <t>8. REDACTAR UN INFORME EJECUTIVO</t>
  </si>
  <si>
    <t>Actúa como analista senior. Te adjunto los resultados completos de un análisis estructural MICMAC sobre [OBJETO], realizado para [CLIENTE] con horizonte [HORIZONTE].</t>
  </si>
  <si>
    <t>Redacta un informe ejecutivo de entre 800 y 1.200 palabras con la siguiente estructura: objetivo, metodología en un párrafo comprensible para un lector no técnico, resultados principales, variables clave, hallazgos contraintuitivos, limitaciones y recomendaciones.</t>
  </si>
  <si>
    <t>Escribe en prosa continua, sin listas, en registro institucional sobrio. La sección de limitaciones debe recoger expresamente que el método no produce margen de error estadístico y que los resultados dependen de la composición del panel.</t>
  </si>
  <si>
    <t>9. IDENTIFICAR RIESGOS</t>
  </si>
  <si>
    <t>Actúa como analista de riesgos con formación en prospectiva. Te adjunto los resultados de un análisis estructural MICMAC sobre [OBJETO].</t>
  </si>
  <si>
    <t>Identifica los riesgos derivados de la estructura del sistema: riesgos de propagación asociados a las variables de enlace; riesgos de punto ciego asociados a las variables ocultas; riesgos de ruptura asociados a las relaciones potenciales; y riesgos de decisión derivados de confundir variables resultado con variables de acción.</t>
  </si>
  <si>
    <t>Para cada riesgo indica el mecanismo por el que se materializaría y qué indicador permitiría vigilarlo.</t>
  </si>
  <si>
    <t>10. PROPONER LÍNEAS DE INVESTIGACIÓN FUTURAS</t>
  </si>
  <si>
    <t>Actúa como director de un centro de prospectiva. Te adjunto los resultados de un análisis estructural MICMAC sobre [OBJETO] y el análisis de sensibilidad asociado.</t>
  </si>
  <si>
    <t>Propón entre cinco y ocho líneas de investigación posteriores, priorizadas. Presta atención especial a las variables con clasificación frágil, a las situadas en zona de pelotón y a las relaciones valoradas con baja confianza documental, ya que son los puntos donde el conocimiento actual es más débil.</t>
  </si>
  <si>
    <t>Para cada línea indica qué pregunta busca responder, qué método sería apropiado y cómo mejoraría la solidez de un futuro MICMAC sobre el mismo sistema.</t>
  </si>
  <si>
    <t>REGISTRO DE CAMBIOS</t>
  </si>
  <si>
    <t>Cadena de custodia del estudio. Toda modificación debe quedar registrada.</t>
  </si>
  <si>
    <t>Versión</t>
  </si>
  <si>
    <t>Autor</t>
  </si>
  <si>
    <t>Hoja afectada</t>
  </si>
  <si>
    <t>Tipo de cambio</t>
  </si>
  <si>
    <t>Descripción del cambio</t>
  </si>
  <si>
    <t>Motivo</t>
  </si>
  <si>
    <t>Validado por</t>
  </si>
  <si>
    <t>CONTROL DE CALIDAD DEL ESTUDIO</t>
  </si>
  <si>
    <t>Verifique estos puntos antes de entregar. Los marcados como automáticos se comprueban solos.</t>
  </si>
  <si>
    <t>CONFORMIDAD METODOLÓGICA (automático)</t>
  </si>
  <si>
    <t>Escala 0-4 aplicada conforme al SR-10</t>
  </si>
  <si>
    <t>Verifica que no hay valores fuera de escala</t>
  </si>
  <si>
    <t>Diagonal de la matriz fijada a cero</t>
  </si>
  <si>
    <t>Una variable no puede influirse a sí misma</t>
  </si>
  <si>
    <t>Se han calculado las cuatro clasificaciones</t>
  </si>
  <si>
    <t>Directa, indirecta, potencial directa y potencial indirecta</t>
  </si>
  <si>
    <t>Convergencia de la jerarquía verificada</t>
  </si>
  <si>
    <t>Zona de pelotón activada</t>
  </si>
  <si>
    <t>Si es 0, la herramienta clasificará variables centrales sin margen de cautela</t>
  </si>
  <si>
    <t>COMPLETITUD DEL ESTUDIO (automático)</t>
  </si>
  <si>
    <t>Estudio identificado en la hoja 03</t>
  </si>
  <si>
    <t>Panel de expertos registrado</t>
  </si>
  <si>
    <t>Todas las variables activas tienen definición operacional</t>
  </si>
  <si>
    <t>Todas las relaciones no nulas están justificadas</t>
  </si>
  <si>
    <t>Interpretación validada por el equipo para todas las variables</t>
  </si>
  <si>
    <t>Bibliografía consignada</t>
  </si>
  <si>
    <t>Registro de cambios iniciado</t>
  </si>
  <si>
    <t>CALIDAD ANALÍTICA (automático)</t>
  </si>
  <si>
    <t>Densidad de la matriz en rango razonable</t>
  </si>
  <si>
    <t>Referencia orientativa del SR-10: en torno al 20 %</t>
  </si>
  <si>
    <t>Menos del 30 % de variables con clasificación frágil</t>
  </si>
  <si>
    <t>El análisis ha producido hallazgos contraintuitivos</t>
  </si>
  <si>
    <t>Entre el 10 % y el 20 % de resultados suelen ser contraintuitivos; si no hay ninguno, sospeche de un llenado mecánico</t>
  </si>
  <si>
    <t>No hay variables activas totalmente aisladas</t>
  </si>
  <si>
    <t>VERIFICACIÓN MANUAL (marque Sí/No)</t>
  </si>
  <si>
    <t>La lista de variables ha sido validada por el panel completo</t>
  </si>
  <si>
    <t>La matriz se ha rellenado en sesión colectiva, no individualmente</t>
  </si>
  <si>
    <t>Se ha debatido cada relación con valor 4 (potencial)</t>
  </si>
  <si>
    <t>Las variables en zona de pelotón se han devuelto al panel</t>
  </si>
  <si>
    <t>Las variables con robustez baja se han revisado expresamente</t>
  </si>
  <si>
    <t>El informe recoge las limitaciones del método</t>
  </si>
  <si>
    <t>El estudio indica quién ha validado cada interpretación</t>
  </si>
  <si>
    <t>MOTOR DE CÁLCULO — NO MODIFICAR</t>
  </si>
  <si>
    <t>Hoja técnica. Todas las matrices se calculan con fórmulas matriciales MMULT.</t>
  </si>
  <si>
    <t>n activo</t>
  </si>
  <si>
    <t>preguntas posibles</t>
  </si>
  <si>
    <t>relaciones no nulas</t>
  </si>
  <si>
    <t>relaciones potenciales</t>
  </si>
  <si>
    <t>densidad</t>
  </si>
  <si>
    <t>banda pelotón</t>
  </si>
  <si>
    <t>MID_DIRECTA (4-&gt;0)</t>
  </si>
  <si>
    <t>MID_POTENCIAL (4-&gt;3)</t>
  </si>
  <si>
    <t>MID^2</t>
  </si>
  <si>
    <t>MID^3</t>
  </si>
  <si>
    <t>MID^4</t>
  </si>
  <si>
    <t>MIDP^2</t>
  </si>
  <si>
    <t>MIDP^3</t>
  </si>
  <si>
    <t>Cod</t>
  </si>
  <si>
    <t>Activa</t>
  </si>
  <si>
    <t>MotD</t>
  </si>
  <si>
    <t>DepD</t>
  </si>
  <si>
    <t>MotI</t>
  </si>
  <si>
    <t>DepI</t>
  </si>
  <si>
    <t>MotPD</t>
  </si>
  <si>
    <t>DepPD</t>
  </si>
  <si>
    <t>MotPI</t>
  </si>
  <si>
    <t>DepPI</t>
  </si>
  <si>
    <t>Mot2</t>
  </si>
  <si>
    <t>Mot4</t>
  </si>
  <si>
    <t>RkD</t>
  </si>
  <si>
    <t>Rk2</t>
  </si>
  <si>
    <t>Rk3</t>
  </si>
  <si>
    <t>Rk4</t>
  </si>
  <si>
    <t>umbral directo</t>
  </si>
  <si>
    <t>umbral indirecto</t>
  </si>
  <si>
    <t>umbral pot directo</t>
  </si>
  <si>
    <t>umbral pot indir</t>
  </si>
  <si>
    <t>total directo</t>
  </si>
  <si>
    <t>total indirecto</t>
  </si>
  <si>
    <t>total pot directo</t>
  </si>
  <si>
    <t>total pot indir</t>
  </si>
  <si>
    <t>banda directa</t>
  </si>
  <si>
    <t>banda indirecta</t>
  </si>
  <si>
    <t>banda pot dir</t>
  </si>
  <si>
    <t>banda pot ind</t>
  </si>
  <si>
    <t>cambios rank 1-&gt;2</t>
  </si>
  <si>
    <t>cambios rank 2-&gt;3</t>
  </si>
  <si>
    <t>cambios rank 3-&gt;4</t>
  </si>
  <si>
    <t>max activo directa</t>
  </si>
  <si>
    <t>min activo directa</t>
  </si>
  <si>
    <t>max activo indirecta</t>
  </si>
  <si>
    <t>min activo indirecta</t>
  </si>
  <si>
    <t>max activo pot dir</t>
  </si>
  <si>
    <t>min activo pot dir</t>
  </si>
  <si>
    <t>max activo pot ind</t>
  </si>
  <si>
    <t>min activo pot 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</si>
</sst>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65" x14ac:knownFonts="1">
    <font>
      <sz val="11"/>
      <color rgb="FF0F1B2A"/>
      <name val="Aptos"/>
      <family val="2"/>
      <charset val="1"/>
    </font>
    <font>
      <b/>
      <sz val="13"/>
      <color rgb="FF9A6212"/>
      <name val="Aptos"/>
      <charset val="1"/>
    </font>
    <font>
      <b/>
      <sz val="30"/>
      <color rgb="FF0A3D6E"/>
      <name val="Aptos"/>
      <charset val="1"/>
    </font>
    <font>
      <sz val="12"/>
      <color rgb="FF5A6675"/>
      <name val="Aptos"/>
      <charset val="1"/>
    </font>
    <font>
      <b/>
      <sz val="11"/>
      <color rgb="FF5A6675"/>
      <name val="Aptos"/>
      <charset val="1"/>
    </font>
    <font>
      <sz val="10"/>
      <color rgb="FF0F1B2A"/>
      <name val="Aptos"/>
      <charset val="1"/>
    </font>
    <font>
      <b/>
      <sz val="11"/>
      <color rgb="FFFFFFFF"/>
      <name val="Aptos"/>
      <charset val="1"/>
    </font>
    <font>
      <b/>
      <sz val="10"/>
      <color rgb="FF9A6212"/>
      <name val="Aptos"/>
      <charset val="1"/>
    </font>
    <font>
      <sz val="10"/>
      <color rgb="FF0B62B8"/>
      <name val="Aptos"/>
      <charset val="1"/>
    </font>
    <font>
      <b/>
      <sz val="10"/>
      <color rgb="FFB3261E"/>
      <name val="Aptos"/>
      <charset val="1"/>
    </font>
    <font>
      <i/>
      <sz val="9"/>
      <color rgb="FF0F1B2A"/>
      <name val="Aptos"/>
      <charset val="1"/>
    </font>
    <font>
      <b/>
      <sz val="16"/>
      <color rgb="FF0A3D6E"/>
      <name val="Aptos"/>
      <charset val="1"/>
    </font>
    <font>
      <i/>
      <sz val="9"/>
      <color rgb="FF5A6675"/>
      <name val="Aptos"/>
      <charset val="1"/>
    </font>
    <font>
      <b/>
      <sz val="10"/>
      <color rgb="FF0F1B2A"/>
      <name val="Aptos"/>
      <charset val="1"/>
    </font>
    <font>
      <b/>
      <sz val="10"/>
      <color rgb="FFFFFFFF"/>
      <name val="Aptos"/>
      <charset val="1"/>
    </font>
    <font>
      <sz val="9"/>
      <color rgb="FF5A6675"/>
      <name val="Aptos"/>
      <charset val="1"/>
    </font>
    <font>
      <i/>
      <sz val="9"/>
      <color rgb="FFB3261E"/>
      <name val="Aptos"/>
      <charset val="1"/>
    </font>
    <font>
      <b/>
      <sz val="9"/>
      <color rgb="FFFFFFFF"/>
      <name val="Aptos"/>
      <charset val="1"/>
    </font>
    <font>
      <b/>
      <sz val="8"/>
      <color rgb="FFFFFFFF"/>
      <name val="Aptos"/>
      <charset val="1"/>
    </font>
    <font>
      <b/>
      <sz val="9"/>
      <color rgb="FF0F1B2A"/>
      <name val="Aptos"/>
      <charset val="1"/>
    </font>
    <font>
      <sz val="9"/>
      <color rgb="FF0F1B2A"/>
      <name val="Aptos"/>
      <charset val="1"/>
    </font>
    <font>
      <sz val="9"/>
      <color rgb="FF0B62B8"/>
      <name val="Aptos"/>
      <charset val="1"/>
    </font>
    <font>
      <b/>
      <sz val="11"/>
      <color rgb="FF0A3D6E"/>
      <name val="Aptos"/>
      <charset val="1"/>
    </font>
    <font>
      <b/>
      <sz val="10"/>
      <color rgb="FF0A3D6E"/>
      <name val="Aptos"/>
      <charset val="1"/>
    </font>
    <font>
      <b/>
      <sz val="14"/>
      <color rgb="FFB3261E"/>
      <name val="Aptos"/>
      <charset val="1"/>
    </font>
    <font>
      <b/>
      <sz val="9"/>
      <color rgb="FF94A0AE"/>
      <name val="Aptos"/>
      <family val="2"/>
    </font>
    <font>
      <b/>
      <sz val="28"/>
      <color rgb="FF0F1B2A"/>
      <name val="Aptos"/>
      <family val="2"/>
    </font>
    <font>
      <sz val="12"/>
      <color rgb="FF5A6675"/>
      <name val="Aptos"/>
      <family val="2"/>
    </font>
    <font>
      <b/>
      <sz val="10"/>
      <color rgb="FF0B62B8"/>
      <name val="Aptos"/>
      <family val="2"/>
    </font>
    <font>
      <sz val="10"/>
      <color rgb="FF5A6675"/>
      <name val="Aptos"/>
      <family val="2"/>
    </font>
    <font>
      <b/>
      <sz val="10"/>
      <color rgb="FF0A3D6E"/>
      <name val="Aptos"/>
      <family val="2"/>
    </font>
    <font>
      <b/>
      <sz val="9"/>
      <color rgb="FF94A0AE"/>
      <name val="Aptos"/>
      <family val="2"/>
    </font>
    <font>
      <sz val="11"/>
      <color rgb="FF0B62B8"/>
      <name val="Aptos"/>
      <family val="2"/>
    </font>
    <font>
      <b/>
      <sz val="10"/>
      <color rgb="FF9A6212"/>
      <name val="Aptos"/>
      <family val="2"/>
    </font>
    <font>
      <sz val="10"/>
      <color rgb="FF5A6675"/>
      <name val="Aptos"/>
      <family val="2"/>
    </font>
    <font>
      <b/>
      <sz val="14"/>
      <color rgb="FF0A3D6E"/>
      <name val="Aptos"/>
      <family val="2"/>
    </font>
    <font>
      <sz val="10"/>
      <color rgb="FF5A6675"/>
      <name val="Aptos"/>
      <family val="2"/>
    </font>
    <font>
      <b/>
      <sz val="10"/>
      <color rgb="FFFFFFFF"/>
      <name val="Aptos"/>
      <family val="2"/>
    </font>
    <font>
      <b/>
      <sz val="10"/>
      <color rgb="FF0F1B2A"/>
      <name val="Aptos"/>
      <family val="2"/>
    </font>
    <font>
      <sz val="11"/>
      <color rgb="FF0F1B2A"/>
      <name val="Aptos"/>
      <family val="2"/>
    </font>
    <font>
      <i/>
      <sz val="11"/>
      <color rgb="FF3E4A57"/>
      <name val="Aptos"/>
      <family val="2"/>
    </font>
    <font>
      <sz val="11"/>
      <color rgb="FF5A6675"/>
      <name val="Aptos"/>
      <family val="2"/>
    </font>
    <font>
      <b/>
      <sz val="14"/>
      <color rgb="FF0F1B2A"/>
      <name val="Aptos"/>
      <family val="2"/>
    </font>
    <font>
      <sz val="10"/>
      <color rgb="FF9A6212"/>
      <name val="Aptos"/>
      <family val="2"/>
    </font>
    <font>
      <sz val="10"/>
      <color rgb="FFB3261E"/>
      <name val="Aptos"/>
      <family val="2"/>
    </font>
    <font>
      <sz val="11"/>
      <color rgb="FF0F1B2A"/>
      <name val="Aptos"/>
      <family val="2"/>
    </font>
    <font>
      <sz val="9"/>
      <color rgb="FF5A6675"/>
      <name val="Aptos"/>
      <family val="2"/>
    </font>
    <font>
      <b/>
      <sz val="10"/>
      <color rgb="FF0B62B8"/>
      <name val="Aptos"/>
      <family val="2"/>
    </font>
    <font>
      <b/>
      <sz val="10"/>
      <color rgb="FF0B62B8"/>
      <name val="Aptos"/>
      <family val="2"/>
    </font>
    <font>
      <sz val="9"/>
      <color rgb="FF94A0AE"/>
      <name val="Aptos"/>
      <family val="2"/>
    </font>
    <font>
      <b/>
      <sz val="10"/>
      <color rgb="FF0B62B8"/>
      <name val="Aptos"/>
      <family val="2"/>
    </font>
    <font>
      <b/>
      <sz val="11"/>
      <color rgb="FF0A3D6E"/>
      <name val="Aptos"/>
      <family val="2"/>
    </font>
    <font>
      <b/>
      <sz val="10"/>
      <color rgb="FF0F1B2A"/>
      <name val="Aptos"/>
      <family val="2"/>
    </font>
    <font>
      <sz val="10"/>
      <color rgb="FF5A6675"/>
      <name val="Aptos"/>
      <family val="2"/>
    </font>
    <font>
      <b/>
      <sz val="12"/>
      <color rgb="FF0A3D6E"/>
      <name val="Aptos"/>
      <family val="2"/>
    </font>
    <font>
      <b/>
      <sz val="10"/>
      <color rgb="FF0F1B2A"/>
      <name val="Aptos"/>
      <family val="2"/>
    </font>
    <font>
      <sz val="10"/>
      <color rgb="FF0F1B2A"/>
      <name val="Aptos"/>
      <family val="2"/>
    </font>
    <font>
      <b/>
      <sz val="11"/>
      <color rgb="FF0A3D6E"/>
      <name val="Aptos"/>
      <family val="2"/>
    </font>
    <font>
      <sz val="9"/>
      <color rgb="FF5A6675"/>
      <name val="Aptos"/>
      <family val="2"/>
    </font>
    <font>
      <b/>
      <sz val="10"/>
      <color rgb="FF0A3D6E"/>
      <name val="Aptos"/>
      <family val="2"/>
    </font>
    <font>
      <sz val="11"/>
      <color rgb="FF0F1B2A"/>
      <name val="Aptos"/>
      <family val="2"/>
    </font>
    <font>
      <i/>
      <sz val="10"/>
      <color rgb="FF5A6675"/>
      <name val="Aptos"/>
      <family val="2"/>
    </font>
    <font>
      <sz val="11"/>
      <color rgb="FF94A0AE"/>
      <name val="Aptos"/>
      <family val="2"/>
    </font>
    <font>
      <sz val="9"/>
      <color rgb="FF5A6675"/>
      <name val="Aptos"/>
      <family val="2"/>
    </font>
    <font>
      <b/>
      <sz val="10"/>
      <color rgb="FF0F1B2A"/>
      <name val="Aptos"/>
      <family val="2"/>
    </font>
    <font>
      <b/>
      <sz val="9"/>
      <color rgb="FF0A3D6E"/>
      <name val="Aptos"/>
      <family val="2"/>
    </font>
    <font>
      <b/>
      <sz val="16"/>
      <color rgb="FF0A3D6E"/>
      <name val="Aptos"/>
      <family val="2"/>
    </font>
    <font>
      <b/>
      <sz val="11"/>
      <color rgb="FF0A3D6E"/>
      <name val="Aptos"/>
      <family val="2"/>
    </font>
    <font>
      <b/>
      <sz val="10"/>
      <color rgb="FF0F1B2A"/>
      <name val="Aptos"/>
      <family val="2"/>
    </font>
    <font>
      <sz val="10"/>
      <color rgb="FF5A6675"/>
      <name val="Aptos"/>
      <family val="2"/>
    </font>
    <font>
      <sz val="10"/>
      <color rgb="FF0F1B2A"/>
      <name val="Aptos"/>
      <family val="2"/>
    </font>
    <font>
      <i/>
      <sz val="9"/>
      <color rgb="FF5A6675"/>
      <name val="Aptos"/>
      <family val="2"/>
    </font>
    <font>
      <b/>
      <sz val="20"/>
      <color rgb="FF0A3D6E"/>
      <name val="Aptos"/>
      <family val="2"/>
    </font>
    <font>
      <sz val="9"/>
      <color rgb="FF94A0AE"/>
      <name val="Aptos"/>
      <family val="2"/>
    </font>
    <font>
      <b/>
      <sz val="9"/>
      <color rgb="FF0A3D6E"/>
      <name val="Aptos"/>
      <family val="2"/>
    </font>
    <font>
      <sz val="11"/>
      <color rgb="FF5A6675"/>
      <name val="Aptos"/>
      <family val="2"/>
    </font>
    <font>
      <sz val="8"/>
      <color rgb="FF94A0AE"/>
      <name val="Aptos"/>
      <family val="2"/>
    </font>
    <font>
      <sz val="8"/>
      <color rgb="FF0F1B2A"/>
      <name val="Aptos"/>
      <family val="2"/>
    </font>
    <font>
      <b/>
      <sz val="8"/>
      <color rgb="FF94A0AE"/>
      <name val="Aptos"/>
      <family val="2"/>
    </font>
    <font>
      <b/>
      <sz val="10"/>
      <color rgb="FF0B62B8"/>
      <name val="Aptos"/>
      <family val="2"/>
    </font>
    <font>
      <sz val="9"/>
      <color rgb="FF94A0AE"/>
      <name val="Aptos"/>
      <family val="2"/>
    </font>
    <font>
      <sz val="9"/>
      <color rgb="FF94A0AE"/>
      <name val="Aptos"/>
      <family val="2"/>
    </font>
    <font>
      <sz val="9"/>
      <color rgb="FF94A0AE"/>
      <name val="Aptos"/>
      <family val="2"/>
    </font>
    <font>
      <b/>
      <sz val="10"/>
      <color rgb="FF0B62B8"/>
      <name val="Aptos"/>
      <family val="2"/>
    </font>
    <font>
      <b/>
      <sz val="20"/>
      <color rgb="FF0A3D6E"/>
      <name val="Aptos"/>
      <family val="2"/>
    </font>
    <font>
      <b/>
      <sz val="13"/>
      <color rgb="FF0A3D6E"/>
      <name val="Aptos"/>
      <family val="2"/>
    </font>
    <font>
      <b/>
      <sz val="11"/>
      <color rgb="FF0F1B2A"/>
      <name val="Aptos"/>
      <family val="2"/>
    </font>
    <font>
      <sz val="11"/>
      <color rgb="FF5A6675"/>
      <name val="Aptos"/>
      <family val="2"/>
    </font>
    <font>
      <sz val="9.5"/>
      <color rgb="FF5A6675"/>
      <name val="Aptos"/>
      <family val="2"/>
    </font>
    <font>
      <sz val="10"/>
      <color rgb="FF5A6675"/>
      <name val="Aptos"/>
      <family val="2"/>
    </font>
    <font>
      <sz val="11"/>
      <color rgb="FF0F1B2A"/>
      <name val="Aptos"/>
      <family val="2"/>
    </font>
    <font>
      <sz val="11"/>
      <color rgb="FF0F1B2A"/>
      <name val="Aptos"/>
      <family val="2"/>
    </font>
    <font>
      <b/>
      <sz val="11"/>
      <color rgb="FF0F1B2A"/>
      <name val="Aptos"/>
      <family val="2"/>
    </font>
    <font>
      <b/>
      <sz val="10"/>
      <color rgb="FFFFFFFF"/>
      <name val="Aptos"/>
      <family val="2"/>
    </font>
    <font>
      <b/>
      <sz val="8.5"/>
      <color rgb="FF94A0AE"/>
      <name val="Aptos"/>
      <family val="2"/>
    </font>
    <font>
      <b/>
      <sz val="20"/>
      <color rgb="FF0A3D6E"/>
      <name val="Aptos"/>
      <family val="2"/>
    </font>
    <font>
      <b/>
      <sz val="8.5"/>
      <color rgb="FF94A0AE"/>
      <name val="Aptos"/>
      <family val="2"/>
    </font>
    <font>
      <b/>
      <sz val="10"/>
      <color rgb="FF1E7A4C"/>
      <name val="Aptos"/>
      <family val="2"/>
    </font>
    <font>
      <b/>
      <sz val="10"/>
      <color rgb="FF9A6212"/>
      <name val="Aptos"/>
      <family val="2"/>
    </font>
    <font>
      <b/>
      <sz val="10"/>
      <color rgb="FFB3261E"/>
      <name val="Aptos"/>
      <family val="2"/>
    </font>
    <font>
      <b/>
      <sz val="10"/>
      <color rgb="FF0B62B8"/>
      <name val="Aptos"/>
      <family val="2"/>
    </font>
    <font>
      <sz val="9.5"/>
      <color rgb="FF94A0AE"/>
      <name val="Aptos"/>
      <family val="2"/>
    </font>
    <font>
      <sz val="11"/>
      <color rgb="FF94A0AE"/>
      <name val="Aptos"/>
      <family val="2"/>
    </font>
    <font>
      <b/>
      <u/>
      <sz val="10"/>
      <color rgb="FF0B62B8"/>
      <name val="Aptos"/>
      <family val="2"/>
    </font>
    <font>
      <sz val="11"/>
      <color rgb="FF94A0AE"/>
      <name val="Aptos"/>
      <family val="2"/>
    </font>
    <font>
      <b/>
      <sz val="9"/>
      <color rgb="FFFFFFFF"/>
      <name val="Aptos"/>
      <family val="2"/>
    </font>
    <font>
      <sz val="10"/>
      <color rgb="FF0F1B2A"/>
      <name val="Aptos"/>
      <family val="2"/>
    </font>
    <font>
      <b/>
      <sz val="11"/>
      <color rgb="FFFFFFFF"/>
      <name val="Aptos"/>
      <family val="2"/>
    </font>
    <font>
      <sz val="9.5"/>
      <color rgb="FFAFC6DE"/>
      <name val="Aptos"/>
      <family val="2"/>
    </font>
    <font>
      <b/>
      <sz val="10"/>
      <color rgb="FFFFFFFF"/>
      <name val="Aptos"/>
      <family val="2"/>
    </font>
    <font>
      <b/>
      <sz val="9.5"/>
      <color rgb="FF1E7A4C"/>
      <name val="Aptos"/>
      <family val="2"/>
    </font>
    <font>
      <sz val="9.5"/>
      <color rgb="FF94A0AE"/>
      <name val="Aptos"/>
      <family val="2"/>
    </font>
    <font>
      <b/>
      <sz val="26"/>
      <color rgb="FF0A3D6E"/>
      <name val="Aptos"/>
      <family val="2"/>
    </font>
    <font>
      <sz val="12"/>
      <color rgb="FF5A6675"/>
      <name val="Aptos"/>
      <family val="2"/>
    </font>
    <font>
      <b/>
      <sz val="10"/>
      <color rgb="FF94A0AE"/>
      <name val="Aptos"/>
      <family val="2"/>
    </font>
    <font>
      <b/>
      <sz val="24"/>
      <color rgb="FF0A3D6E"/>
      <name val="Aptos"/>
      <family val="2"/>
    </font>
    <font>
      <sz val="9.5"/>
      <color rgb="FF5A6675"/>
      <name val="Aptos"/>
      <family val="2"/>
    </font>
    <font>
      <sz val="13"/>
      <color rgb="FF0F1B2A"/>
      <name val="Aptos"/>
      <family val="2"/>
    </font>
    <font>
      <b/>
      <sz val="15"/>
      <color rgb="FF0A3D6E"/>
      <name val="Aptos"/>
      <family val="2"/>
    </font>
    <font>
      <b/>
      <sz val="11"/>
      <color rgb="FF1E7A4C"/>
      <name val="Aptos"/>
      <family val="2"/>
    </font>
    <font>
      <sz val="10"/>
      <color rgb="FF94A0AE"/>
      <name val="Aptos"/>
      <family val="2"/>
    </font>
    <font>
      <i/>
      <sz val="9.5"/>
      <color rgb="FF94A0AE"/>
      <name val="Aptos"/>
      <family val="2"/>
    </font>
    <font>
      <b/>
      <sz val="12"/>
      <color rgb="FFFFFFFF"/>
      <name val="Aptos"/>
      <family val="2"/>
    </font>
    <font>
      <sz val="11"/>
      <color rgb="FF0F1B2A"/>
      <name val="Aptos"/>
      <family val="2"/>
    </font>
    <font>
      <b/>
      <sz val="11"/>
      <color rgb="FF0A3D6E"/>
      <name val="Aptos"/>
      <family val="2"/>
    </font>
    <font>
      <sz val="9.5"/>
      <color rgb="FFDCE9F6"/>
      <name val="Aptos"/>
      <family val="2"/>
    </font>
    <font>
      <sz val="11"/>
      <color rgb="FF0F1B2A"/>
      <name val="Aptos"/>
      <family val="2"/>
    </font>
    <font>
      <sz val="9.5"/>
      <color rgb="FF94A0AE"/>
      <name val="Aptos"/>
      <family val="2"/>
    </font>
    <font>
      <sz val="11"/>
      <color rgb="FF0F1B2A"/>
      <name val="Aptos"/>
      <family val="2"/>
    </font>
    <font>
      <b/>
      <sz val="11"/>
      <color rgb="FF0A3D6E"/>
      <name val="Aptos"/>
      <family val="2"/>
    </font>
    <font>
      <sz val="11"/>
      <color rgb="FF0F1B2A"/>
      <name val="Aptos"/>
      <family val="2"/>
    </font>
    <font>
      <sz val="12"/>
      <color rgb="FF0F1B2A"/>
      <name val="Aptos"/>
      <family val="2"/>
    </font>
    <font>
      <sz val="9"/>
      <color rgb="FF94A0AE"/>
      <name val="Aptos"/>
      <family val="2"/>
    </font>
    <font>
      <sz val="11"/>
      <color rgb="FF0F1B2A"/>
      <name val="Aptos"/>
      <family val="2"/>
    </font>
    <font>
      <b/>
      <sz val="11"/>
      <color rgb="FF0A3D6E"/>
      <name val="Aptos"/>
      <family val="2"/>
    </font>
    <font>
      <b/>
      <sz val="30"/>
      <color rgb="FF0A3D6E"/>
      <name val="Aptos"/>
      <family val="2"/>
    </font>
    <font>
      <b/>
      <sz val="30"/>
      <color rgb="FF0A3D6E"/>
      <name val="Aptos"/>
      <family val="2"/>
    </font>
    <font>
      <sz val="8"/>
      <color rgb="FF94A0AE"/>
      <name val="Aptos"/>
      <family val="2"/>
    </font>
    <font>
      <b/>
      <sz val="9"/>
      <color rgb="FF94A0AE"/>
      <name val="Aptos"/>
      <family val="2"/>
    </font>
    <font>
      <b/>
      <sz val="9"/>
      <color rgb="FF94A0AE"/>
      <name val="Aptos"/>
      <family val="2"/>
    </font>
    <font>
      <b/>
      <sz val="9"/>
      <color rgb="FF94A0AE"/>
      <name val="Aptos"/>
      <family val="2"/>
    </font>
    <font>
      <sz val="13"/>
      <color rgb="FF5A6675"/>
      <name val="Aptos"/>
      <family val="2"/>
    </font>
    <font>
      <sz val="11"/>
      <color rgb="FF0F1B2A"/>
      <name val="Aptos"/>
      <family val="2"/>
    </font>
    <font>
      <sz val="11"/>
      <color rgb="FF0F1B2A"/>
      <name val="Aptos"/>
      <family val="2"/>
    </font>
    <font>
      <b/>
      <sz val="15"/>
      <color rgb="FF0A3D6E"/>
      <name val="Aptos"/>
      <family val="2"/>
    </font>
    <font>
      <sz val="10"/>
      <color rgb="FF3A3F9E"/>
      <name val="Aptos"/>
      <family val="2"/>
    </font>
    <font>
      <b/>
      <sz val="11"/>
      <color rgb="FF0F1B2A"/>
      <name val="Aptos"/>
      <family val="2"/>
    </font>
    <font>
      <sz val="11"/>
      <color rgb="FF0F1B2A"/>
      <name val="Aptos"/>
      <family val="2"/>
    </font>
    <font>
      <sz val="11"/>
      <color rgb="FF0F1B2A"/>
      <name val="Aptos"/>
      <family val="2"/>
    </font>
    <font>
      <sz val="10"/>
      <color rgb="FF5A6675"/>
      <name val="Aptos"/>
      <family val="2"/>
    </font>
    <font>
      <sz val="8"/>
      <color rgb="FF94A0AE"/>
      <name val="Aptos"/>
      <family val="2"/>
    </font>
    <font>
      <b/>
      <sz val="10"/>
      <color rgb="FF1E7A4C"/>
      <name val="Aptos"/>
      <family val="2"/>
    </font>
    <font>
      <sz val="10"/>
      <color rgb="FF94A0AE"/>
      <name val="Aptos"/>
      <family val="2"/>
    </font>
    <font>
      <b/>
      <sz val="10"/>
      <color rgb="FFFFFFFF"/>
      <name val="Aptos"/>
      <family val="2"/>
    </font>
    <font>
      <b/>
      <sz val="22"/>
      <color rgb="FF0A3D6E"/>
      <name val="Aptos"/>
      <family val="2"/>
    </font>
    <font>
      <b/>
      <sz val="24"/>
      <color rgb="FF0A3D6E"/>
      <name val="Aptos"/>
      <family val="2"/>
    </font>
    <font>
      <sz val="12"/>
      <color rgb="FF5A6675"/>
      <name val="Aptos"/>
      <family val="2"/>
    </font>
    <font>
      <b/>
      <sz val="9"/>
      <color rgb="FF94A0AE"/>
      <name val="Aptos"/>
      <family val="2"/>
    </font>
    <font>
      <sz val="12"/>
      <color rgb="FF0F1B2A"/>
      <name val="Aptos"/>
      <family val="2"/>
    </font>
    <font>
      <sz val="8"/>
      <color rgb="FF94A0AE"/>
      <name val="Aptos"/>
      <family val="2"/>
    </font>
    <font>
      <b/>
      <sz val="9"/>
      <color rgb="FF3A3F9E"/>
      <name val="Aptos"/>
      <family val="2"/>
    </font>
    <font>
      <b/>
      <sz val="9"/>
      <color rgb="FF94A0AE"/>
      <name val="Aptos"/>
      <family val="2"/>
    </font>
    <font>
      <b/>
      <sz val="9"/>
      <color rgb="FF5A6675"/>
      <name val="Aptos"/>
      <family val="2"/>
    </font>
    <font>
      <b/>
      <sz val="9"/>
      <color rgb="FF0F1B2A"/>
      <name val="Aptos"/>
      <family val="2"/>
    </font>
    <font>
      <b/>
      <sz val="12"/>
      <color rgb="FF0A3D6E"/>
      <name val="Aptos"/>
      <family val="2"/>
    </font>
  </fonts>
  <fills count="39">
    <fill>
      <patternFill patternType="none"/>
    </fill>
    <fill>
      <patternFill patternType="gray125"/>
    </fill>
    <fill>
      <patternFill patternType="solid">
        <fgColor rgb="FF0B62B8"/>
        <bgColor rgb="FF0B62B8"/>
      </patternFill>
    </fill>
    <fill>
      <patternFill patternType="solid">
        <fgColor rgb="FFF2F7FD"/>
        <bgColor rgb="FFF7F9FB"/>
      </patternFill>
    </fill>
    <fill>
      <patternFill patternType="solid">
        <fgColor rgb="FFF7F9FB"/>
        <bgColor rgb="FFF2F7FD"/>
      </patternFill>
    </fill>
    <fill>
      <patternFill patternType="solid">
        <fgColor rgb="FF0A3D6E"/>
        <bgColor rgb="FF44546A"/>
      </patternFill>
    </fill>
    <fill>
      <patternFill patternType="solid">
        <fgColor rgb="FFE9F1FA"/>
        <bgColor rgb="FFEAF1F9"/>
      </patternFill>
    </fill>
    <fill>
      <patternFill patternType="solid">
        <fgColor rgb="FFEDF0F4"/>
        <bgColor rgb="FFB4C6E7"/>
      </patternFill>
    </fill>
    <fill>
      <patternFill patternType="solid">
        <fgColor rgb="FF0F1B2A"/>
        <bgColor rgb="FF1A1A1A"/>
      </patternFill>
    </fill>
    <fill>
      <patternFill patternType="solid">
        <fgColor rgb="FFFBF1DF"/>
        <bgColor indexed="64"/>
      </patternFill>
    </fill>
    <fill>
      <patternFill patternType="solid">
        <fgColor rgb="FFF2F7FD"/>
        <bgColor indexed="64"/>
      </patternFill>
    </fill>
    <fill>
      <patternFill patternType="solid">
        <fgColor rgb="FFF7F9FB"/>
        <bgColor indexed="64"/>
      </patternFill>
    </fill>
    <fill>
      <patternFill patternType="solid">
        <fgColor rgb="FFEDF0F4"/>
        <bgColor indexed="64"/>
      </patternFill>
    </fill>
    <fill>
      <patternFill patternType="solid">
        <fgColor rgb="FF0A3D6E"/>
        <bgColor indexed="64"/>
      </patternFill>
    </fill>
    <fill>
      <patternFill patternType="solid">
        <fgColor rgb="FFFBEAE8"/>
        <bgColor indexed="64"/>
      </patternFill>
    </fill>
    <fill>
      <patternFill patternType="solid">
        <fgColor rgb="FFEDF0F4"/>
        <bgColor indexed="64"/>
      </patternFill>
    </fill>
    <fill>
      <patternFill patternType="solid">
        <fgColor rgb="FFF2F7FD"/>
        <bgColor indexed="64"/>
      </patternFill>
    </fill>
    <fill>
      <patternFill patternType="solid">
        <fgColor rgb="FFF7F9FB"/>
        <bgColor indexed="64"/>
      </patternFill>
    </fill>
    <fill>
      <patternFill patternType="solid">
        <fgColor rgb="FFEDF0F4"/>
        <bgColor indexed="64"/>
      </patternFill>
    </fill>
    <fill>
      <patternFill patternType="solid">
        <fgColor rgb="FFF7F9FB"/>
        <bgColor indexed="64"/>
      </patternFill>
    </fill>
    <fill>
      <patternFill patternType="solid">
        <fgColor rgb="FFFFFFFF"/>
        <bgColor indexed="64"/>
      </patternFill>
    </fill>
    <fill>
      <patternFill patternType="solid">
        <fgColor rgb="FFF7F9FB"/>
        <bgColor indexed="64"/>
      </patternFill>
    </fill>
    <fill>
      <patternFill patternType="solid">
        <fgColor rgb="FFEDF0F4"/>
        <bgColor indexed="64"/>
      </patternFill>
    </fill>
    <fill>
      <patternFill patternType="solid">
        <fgColor rgb="FFF2F7FD"/>
        <bgColor indexed="64"/>
      </patternFill>
    </fill>
    <fill>
      <patternFill patternType="solid">
        <fgColor rgb="FF0A3D6E"/>
        <bgColor indexed="64"/>
      </patternFill>
    </fill>
    <fill>
      <patternFill patternType="solid">
        <fgColor rgb="FFE8F4EE"/>
        <bgColor indexed="64"/>
      </patternFill>
    </fill>
    <fill>
      <patternFill patternType="solid">
        <fgColor rgb="FFFBF1DF"/>
        <bgColor indexed="64"/>
      </patternFill>
    </fill>
    <fill>
      <patternFill patternType="solid">
        <fgColor rgb="FFFBEAE8"/>
        <bgColor indexed="64"/>
      </patternFill>
    </fill>
    <fill>
      <patternFill patternType="solid">
        <fgColor rgb="FFE9F1FA"/>
        <bgColor indexed="64"/>
      </patternFill>
    </fill>
    <fill>
      <patternFill patternType="solid">
        <fgColor rgb="FFFFFFFF"/>
        <bgColor indexed="64"/>
      </patternFill>
    </fill>
    <fill>
      <patternFill patternType="solid">
        <fgColor rgb="FF0A3D6E"/>
        <bgColor indexed="64"/>
      </patternFill>
    </fill>
    <fill>
      <patternFill patternType="solid">
        <fgColor rgb="FF3A3F9E"/>
        <bgColor indexed="64"/>
      </patternFill>
    </fill>
    <fill>
      <patternFill patternType="solid">
        <fgColor rgb="FFF7F9FB"/>
        <bgColor indexed="64"/>
      </patternFill>
    </fill>
    <fill>
      <patternFill patternType="solid">
        <fgColor rgb="FF0B62B8"/>
        <bgColor indexed="64"/>
      </patternFill>
    </fill>
    <fill>
      <patternFill patternType="solid">
        <fgColor rgb="FFEFF1F9"/>
        <bgColor indexed="64"/>
      </patternFill>
    </fill>
    <fill>
      <patternFill patternType="solid">
        <fgColor rgb="FFE9F1FA"/>
        <bgColor indexed="64"/>
      </patternFill>
    </fill>
    <fill>
      <patternFill patternType="solid">
        <fgColor rgb="FFF7F9FB"/>
        <bgColor indexed="64"/>
      </patternFill>
    </fill>
    <fill>
      <patternFill patternType="solid">
        <fgColor rgb="FFFCFCFD"/>
        <bgColor indexed="64"/>
      </patternFill>
    </fill>
    <fill>
      <patternFill patternType="solid">
        <fgColor rgb="FFEDF0F4"/>
        <bgColor indexed="64"/>
      </patternFill>
    </fill>
  </fills>
  <borders count="34">
    <border>
      <left/>
      <right/>
      <top/>
      <bottom/>
      <diagonal/>
    </border>
    <border>
      <left style="thin">
        <color rgb="FFB4C6E7"/>
      </left>
      <right style="thin">
        <color rgb="FFB4C6E7"/>
      </right>
      <top style="thin">
        <color rgb="FFB4C6E7"/>
      </top>
      <bottom style="thin">
        <color rgb="FFB4C6E7"/>
      </bottom>
      <diagonal/>
    </border>
    <border>
      <left style="thin">
        <color rgb="FF0B62B8"/>
      </left>
      <right style="thin">
        <color rgb="FF0B62B8"/>
      </right>
      <top style="thin">
        <color rgb="FF0B62B8"/>
      </top>
      <bottom style="thin">
        <color rgb="FF0B62B8"/>
      </bottom>
      <diagonal/>
    </border>
    <border>
      <left/>
      <right/>
      <top/>
      <bottom style="thin">
        <color rgb="FFD8DEE6"/>
      </bottom>
      <diagonal/>
    </border>
    <border>
      <left style="medium">
        <color rgb="FF9A6212"/>
      </left>
      <right/>
      <top/>
      <bottom/>
      <diagonal/>
    </border>
    <border>
      <left/>
      <right/>
      <top/>
      <bottom style="thin">
        <color rgb="FFD8DEE6"/>
      </bottom>
      <diagonal/>
    </border>
    <border>
      <left/>
      <right/>
      <top/>
      <bottom style="thin">
        <color rgb="FFD8DEE6"/>
      </bottom>
      <diagonal/>
    </border>
    <border>
      <left/>
      <right/>
      <top/>
      <bottom style="thin">
        <color rgb="FF0A3D6E"/>
      </bottom>
      <diagonal/>
    </border>
    <border>
      <left style="thin">
        <color rgb="FF0B62B8"/>
      </left>
      <right style="thin">
        <color rgb="FF0B62B8"/>
      </right>
      <top style="thin">
        <color rgb="FF0B62B8"/>
      </top>
      <bottom style="thin">
        <color rgb="FF0B62B8"/>
      </bottom>
      <diagonal/>
    </border>
    <border>
      <left/>
      <right/>
      <top/>
      <bottom style="thin">
        <color rgb="FFD8DEE6"/>
      </bottom>
      <diagonal/>
    </border>
    <border>
      <left/>
      <right/>
      <top/>
      <bottom style="medium">
        <color rgb="FF0A3D6E"/>
      </bottom>
      <diagonal/>
    </border>
    <border>
      <left/>
      <right/>
      <top/>
      <bottom style="thin">
        <color rgb="FF0A3D6E"/>
      </bottom>
      <diagonal/>
    </border>
    <border>
      <left/>
      <right/>
      <top/>
      <bottom style="thin">
        <color rgb="FFD8DEE6"/>
      </bottom>
      <diagonal/>
    </border>
    <border>
      <left style="thin">
        <color rgb="FFD8DEE6"/>
      </left>
      <right style="thin">
        <color rgb="FFD8DEE6"/>
      </right>
      <top style="thin">
        <color rgb="FFD8DEE6"/>
      </top>
      <bottom style="thin">
        <color rgb="FFD8DEE6"/>
      </bottom>
      <diagonal/>
    </border>
    <border>
      <left style="thin">
        <color rgb="FFFFFFFF"/>
      </left>
      <right style="thin">
        <color rgb="FFFFFFFF"/>
      </right>
      <top style="thin">
        <color rgb="FFFFFFFF"/>
      </top>
      <bottom style="thin">
        <color rgb="FFFFFFFF"/>
      </bottom>
      <diagonal/>
    </border>
    <border>
      <left/>
      <right/>
      <top/>
      <bottom style="thin">
        <color rgb="FFD8DEE6"/>
      </bottom>
      <diagonal/>
    </border>
    <border>
      <left/>
      <right/>
      <top/>
      <bottom style="thin">
        <color rgb="FFD8DEE6"/>
      </bottom>
      <diagonal/>
    </border>
    <border>
      <left/>
      <right/>
      <top/>
      <bottom style="thin">
        <color rgb="FFD8DEE6"/>
      </bottom>
      <diagonal/>
    </border>
    <border>
      <left/>
      <right/>
      <top/>
      <bottom style="thin">
        <color rgb="FFD8DEE6"/>
      </bottom>
      <diagonal/>
    </border>
    <border>
      <left/>
      <right/>
      <top/>
      <bottom style="medium">
        <color rgb="FF0A3D6E"/>
      </bottom>
      <diagonal/>
    </border>
    <border>
      <left/>
      <right/>
      <top/>
      <bottom style="thin">
        <color rgb="FFD8DEE6"/>
      </bottom>
      <diagonal/>
    </border>
    <border>
      <left style="thin">
        <color rgb="FF0B62B8"/>
      </left>
      <right style="thin">
        <color rgb="FF0B62B8"/>
      </right>
      <top style="thin">
        <color rgb="FF0B62B8"/>
      </top>
      <bottom style="thin">
        <color rgb="FF0B62B8"/>
      </bottom>
      <diagonal/>
    </border>
    <border>
      <left style="thin">
        <color rgb="FFD8DEE6"/>
      </left>
      <right style="thin">
        <color rgb="FFD8DEE6"/>
      </right>
      <top style="thin">
        <color rgb="FFD8DEE6"/>
      </top>
      <bottom style="thin">
        <color rgb="FFD8DEE6"/>
      </bottom>
      <diagonal/>
    </border>
    <border>
      <left style="medium">
        <color rgb="FF3A3F9E"/>
      </left>
      <right/>
      <top/>
      <bottom/>
      <diagonal/>
    </border>
    <border>
      <left style="medium">
        <color rgb="FF1E7A4C"/>
      </left>
      <right/>
      <top/>
      <bottom/>
      <diagonal/>
    </border>
    <border>
      <left style="medium">
        <color rgb="FF9A6212"/>
      </left>
      <right/>
      <top/>
      <bottom/>
      <diagonal/>
    </border>
    <border>
      <left style="medium">
        <color rgb="FF0B62B8"/>
      </left>
      <right/>
      <top/>
      <bottom/>
      <diagonal/>
    </border>
    <border>
      <left style="thin">
        <color rgb="FFD8DEE6"/>
      </left>
      <right style="thin">
        <color rgb="FFD8DEE6"/>
      </right>
      <top style="thin">
        <color rgb="FFD8DEE6"/>
      </top>
      <bottom style="thin">
        <color rgb="FFD8DEE6"/>
      </bottom>
      <diagonal/>
    </border>
    <border>
      <left/>
      <right/>
      <top/>
      <bottom style="thin">
        <color rgb="FF0A3D6E"/>
      </bottom>
      <diagonal/>
    </border>
    <border>
      <left style="medium">
        <color rgb="FF0F1B2A"/>
      </left>
      <right/>
      <top/>
      <bottom style="medium">
        <color rgb="FF0F1B2A"/>
      </bottom>
      <diagonal/>
    </border>
    <border>
      <left style="medium">
        <color rgb="FF0F1B2A"/>
      </left>
      <right/>
      <top/>
      <bottom/>
      <diagonal/>
    </border>
    <border>
      <left/>
      <right/>
      <top/>
      <bottom style="medium">
        <color rgb="FF0F1B2A"/>
      </bottom>
      <diagonal/>
    </border>
    <border>
      <left style="thin">
        <color rgb="FF94A0AE"/>
      </left>
      <right/>
      <top/>
      <bottom/>
      <diagonal/>
    </border>
    <border>
      <left/>
      <right/>
      <top/>
      <bottom style="thin">
        <color rgb="FF94A0AE"/>
      </bottom>
      <diagonal/>
    </border>
  </borders>
  <cellStyleXfs count="15">
    <xf numFmtId="0" fontId="0" fillId="0" borderId="0"/>
    <xf numFmtId="0" fontId="35" fillId="0" borderId="0" applyFont="1" applyFill="1" applyBorder="1"/>
    <xf numFmtId="0" fontId="36" fillId="0" borderId="0" applyFont="1" applyFill="1" applyBorder="1"/>
    <xf numFmtId="0" fontId="37" fillId="13" borderId="0" applyFont="1" applyFill="1" applyBorder="1"/>
    <xf numFmtId="0" fontId="38" fillId="12" borderId="5" applyFont="1" applyFill="1" applyBorder="1"/>
    <xf numFmtId="0" fontId="39" fillId="10" borderId="2" applyFont="1" applyFill="1" applyBorder="1"/>
    <xf numFmtId="0" fontId="40" fillId="11" borderId="5" applyFont="1" applyFill="1" applyBorder="1"/>
    <xf numFmtId="0" fontId="41" fillId="12" borderId="5" applyFont="1" applyFill="1" applyBorder="1"/>
    <xf numFmtId="0" fontId="42" fillId="0" borderId="3" applyFont="1" applyFill="1" applyBorder="1"/>
    <xf numFmtId="0" fontId="43" fillId="9" borderId="4" applyFont="1" applyFill="1" applyBorder="1"/>
    <xf numFmtId="0" fontId="44" fillId="14" borderId="0" applyFont="1" applyFill="1" applyBorder="1"/>
    <xf numFmtId="0" fontId="25" fillId="0" borderId="3" applyFont="1" applyFill="1" applyBorder="1"/>
    <xf numFmtId="0" fontId="45" fillId="0" borderId="5" applyFont="1" applyFill="1" applyBorder="1"/>
    <xf numFmtId="0" fontId="46" fillId="0" borderId="0" applyFont="1" applyFill="1" applyBorder="1"/>
    <xf numFmtId="0" fontId="47" fillId="0" borderId="0" applyFont="1" applyFill="1" applyBorder="1"/>
  </cellStyleXfs>
  <cellXfs count="231">
    <xf numFmtId="0" fontId="0" fillId="0" borderId="0" xfId="0"/>
    <xf numFmtId="0" fontId="13" fillId="0" borderId="1" xfId="0" applyFont="1" applyBorder="1" applyAlignment="1">
      <alignment horizontal="left" vertical="center" wrapText="1"/>
    </xf>
    <xf numFmtId="0" fontId="5" fillId="4" borderId="1" xfId="0" applyFont="1" applyFill="1" applyBorder="1" applyAlignment="1">
      <alignment horizontal="left" vertical="center" wrapText="1"/>
    </xf>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horizontal="left" vertical="top" wrapText="1"/>
    </xf>
    <xf numFmtId="0" fontId="6" fillId="2" borderId="0" xfId="0" applyFont="1" applyFill="1"/>
    <xf numFmtId="0" fontId="7" fillId="0" borderId="0" xfId="0" applyFont="1"/>
    <xf numFmtId="0" fontId="8" fillId="0" borderId="0" xfId="0" applyFont="1" applyAlignment="1">
      <alignment horizontal="left" vertical="center" wrapText="1"/>
    </xf>
    <xf numFmtId="0" fontId="9" fillId="0" borderId="0" xfId="0" applyFont="1"/>
    <xf numFmtId="0" fontId="10" fillId="0" borderId="0" xfId="0" applyFont="1" applyAlignment="1">
      <alignment horizontal="left" vertical="top"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6" fillId="2" borderId="0" xfId="0" applyFont="1" applyFill="1" applyAlignment="1">
      <alignment horizontal="left" vertical="center" wrapText="1"/>
    </xf>
    <xf numFmtId="0" fontId="13" fillId="0" borderId="1" xfId="0" applyFont="1" applyBorder="1" applyAlignment="1">
      <alignment horizontal="left" vertical="center" wrapText="1"/>
    </xf>
    <xf numFmtId="0" fontId="5" fillId="3" borderId="1" xfId="0" applyFont="1" applyFill="1" applyBorder="1" applyAlignment="1" applyProtection="1">
      <alignment horizontal="left" vertical="center" wrapText="1"/>
      <protection locked="0"/>
    </xf>
    <xf numFmtId="9" fontId="5" fillId="3" borderId="1" xfId="0" applyNumberFormat="1" applyFont="1" applyFill="1" applyBorder="1" applyAlignment="1" applyProtection="1">
      <alignment horizontal="center" vertical="center" wrapText="1"/>
      <protection locked="0"/>
    </xf>
    <xf numFmtId="0" fontId="5" fillId="4"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1" fillId="0" borderId="0" xfId="0" applyFont="1"/>
    <xf numFmtId="0" fontId="15" fillId="0" borderId="0" xfId="0" applyFont="1" applyAlignment="1">
      <alignment horizontal="left" vertical="center" wrapText="1"/>
    </xf>
    <xf numFmtId="0" fontId="16" fillId="0" borderId="0" xfId="0" applyFont="1" applyAlignment="1">
      <alignment horizontal="left" vertical="center" wrapText="1"/>
    </xf>
    <xf numFmtId="0" fontId="17" fillId="5"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20" fillId="6" borderId="1" xfId="0" applyFont="1" applyFill="1" applyBorder="1" applyAlignment="1">
      <alignment horizontal="left" vertical="center" wrapText="1"/>
    </xf>
    <xf numFmtId="0" fontId="20" fillId="7" borderId="1" xfId="0" applyFont="1" applyFill="1" applyBorder="1" applyAlignment="1">
      <alignment horizontal="center" vertical="center" wrapText="1"/>
    </xf>
    <xf numFmtId="0" fontId="21" fillId="3" borderId="1" xfId="0" applyFont="1" applyFill="1" applyBorder="1" applyAlignment="1" applyProtection="1">
      <alignment horizontal="center" vertical="center" wrapText="1"/>
      <protection locked="0"/>
    </xf>
    <xf numFmtId="1" fontId="5" fillId="4" borderId="1" xfId="0" applyNumberFormat="1"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0" fontId="20" fillId="4" borderId="1" xfId="0" applyFont="1" applyFill="1" applyBorder="1" applyAlignment="1">
      <alignment horizontal="center" vertical="center" wrapText="1"/>
    </xf>
    <xf numFmtId="0" fontId="5" fillId="3" borderId="1" xfId="0" applyFont="1" applyFill="1" applyBorder="1" applyAlignment="1" applyProtection="1">
      <alignment horizontal="center" vertical="center" wrapText="1"/>
      <protection locked="0"/>
    </xf>
    <xf numFmtId="1" fontId="22" fillId="4" borderId="1" xfId="0" applyNumberFormat="1" applyFont="1" applyFill="1" applyBorder="1" applyAlignment="1">
      <alignment horizontal="center" vertical="center" wrapText="1"/>
    </xf>
    <xf numFmtId="164" fontId="22" fillId="4" borderId="1" xfId="0" applyNumberFormat="1" applyFont="1" applyFill="1" applyBorder="1" applyAlignment="1">
      <alignment horizontal="center" vertical="center" wrapText="1"/>
    </xf>
    <xf numFmtId="3" fontId="5"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23" fillId="0" borderId="0" xfId="0" applyFont="1"/>
    <xf numFmtId="0" fontId="18" fillId="8" borderId="0" xfId="0" applyFont="1" applyFill="1"/>
    <xf numFmtId="165" fontId="5" fillId="4" borderId="1" xfId="0" applyNumberFormat="1" applyFont="1" applyFill="1" applyBorder="1" applyAlignment="1">
      <alignment horizontal="center" vertical="center" wrapText="1"/>
    </xf>
    <xf numFmtId="0" fontId="22" fillId="4"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0" fillId="3" borderId="0" xfId="0" applyFill="1" applyAlignment="1" applyProtection="1">
      <alignment horizontal="left" vertical="top" wrapText="1"/>
      <protection locked="0"/>
    </xf>
    <xf numFmtId="0" fontId="20" fillId="4" borderId="0" xfId="0" applyFont="1" applyFill="1" applyAlignment="1">
      <alignment horizontal="left" vertical="top" wrapText="1"/>
    </xf>
    <xf numFmtId="0" fontId="5" fillId="0" borderId="1" xfId="0" applyFont="1" applyBorder="1" applyAlignment="1">
      <alignment horizontal="left" vertical="center" wrapText="1"/>
    </xf>
    <xf numFmtId="0" fontId="10" fillId="0" borderId="1" xfId="0" applyFont="1" applyBorder="1" applyAlignment="1">
      <alignment horizontal="left" vertical="center" wrapText="1"/>
    </xf>
    <xf numFmtId="0" fontId="24" fillId="0" borderId="0" xfId="0" applyFont="1"/>
    <xf numFmtId="0" fontId="10" fillId="0" borderId="0" xfId="0" applyFont="1"/>
    <xf numFmtId="9" fontId="0" fillId="0" borderId="0" xfId="0" applyNumberFormat="1"/>
    <xf numFmtId="0" fontId="17" fillId="8" borderId="0" xfId="0" applyFont="1" applyFill="1"/>
    <xf numFmtId="0" fontId="19" fillId="0" borderId="0" xfId="0" applyFont="1"/>
    <xf numFmtId="0" fontId="25" fillId="0" borderId="0" xfId="0" applyFont="1" applyFill="1" applyBorder="1" applyAlignment="1">
      <alignment vertical="center"/>
    </xf>
    <xf numFmtId="0" fontId="26" fillId="0" borderId="0" xfId="0" applyFont="1" applyFill="1" applyBorder="1" applyAlignment="1">
      <alignment vertical="center"/>
    </xf>
    <xf numFmtId="0" fontId="27"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alignment vertical="top" wrapText="1"/>
    </xf>
    <xf numFmtId="0" fontId="25" fillId="0" borderId="3" xfId="0" applyFont="1" applyFill="1" applyBorder="1" applyAlignment="1">
      <alignment vertical="center"/>
    </xf>
    <xf numFmtId="0" fontId="30" fillId="0" borderId="0" xfId="0" applyFont="1" applyFill="1" applyBorder="1" applyAlignment="1">
      <alignment vertical="center"/>
    </xf>
    <xf numFmtId="0" fontId="31" fillId="0" borderId="0" xfId="0" applyFont="1" applyFill="1" applyBorder="1" applyAlignment="1">
      <alignment vertical="center"/>
    </xf>
    <xf numFmtId="0" fontId="32" fillId="0" borderId="0" xfId="0" applyFont="1" applyFill="1" applyBorder="1" applyAlignment="1">
      <alignment vertical="center" indent="1"/>
    </xf>
    <xf numFmtId="0" fontId="33" fillId="9" borderId="4" xfId="0" applyFont="1" applyFill="1" applyBorder="1" applyAlignment="1">
      <alignment vertical="center"/>
    </xf>
    <xf numFmtId="0" fontId="34" fillId="9" borderId="4" xfId="0" applyFont="1" applyFill="1" applyBorder="1" applyAlignment="1">
      <alignment vertical="top" wrapText="1"/>
    </xf>
    <xf numFmtId="0" fontId="48" fillId="0" borderId="6" xfId="0" applyFont="1" applyBorder="1" applyAlignment="1">
      <alignment vertical="center"/>
    </xf>
    <xf numFmtId="0" fontId="49" fillId="0" borderId="6" xfId="0" applyFont="1" applyBorder="1" applyAlignment="1">
      <alignment vertical="center"/>
    </xf>
    <xf numFmtId="0" fontId="50" fillId="0" borderId="6" xfId="0" applyFont="1" applyBorder="1" applyAlignment="1">
      <alignment vertical="center" horizontal="right"/>
    </xf>
    <xf numFmtId="0" fontId="49" fillId="0" borderId="6" xfId="0" applyFont="1" applyBorder="1" applyAlignment="1">
      <alignment vertical="center"/>
    </xf>
    <xf numFmtId="0" fontId="51" fillId="0" borderId="0" xfId="0" applyFont="1" applyBorder="1" applyAlignment="1">
      <alignment vertical="center"/>
    </xf>
    <xf numFmtId="0" fontId="52" fillId="0" borderId="0" xfId="0" applyFont="1" applyBorder="1" applyAlignment="1">
      <alignment vertical="center"/>
    </xf>
    <xf numFmtId="0" fontId="53" fillId="0" borderId="0" xfId="0" applyFont="1" applyBorder="1" applyAlignment="1">
      <alignment vertical="top" wrapText="1"/>
    </xf>
    <xf numFmtId="0" fontId="11" fillId="0" borderId="0" xfId="0" applyFont="1" applyAlignment="1">
      <alignment horizontal="left" vertical="center"/>
    </xf>
    <xf numFmtId="0" fontId="12" fillId="0" borderId="0" xfId="0" applyFont="1" applyAlignment="1">
      <alignment horizontal="left" vertical="center"/>
    </xf>
    <xf numFmtId="0" fontId="5" fillId="0" borderId="0" xfId="0" applyFont="1" applyAlignment="1">
      <alignment horizontal="left" vertical="top"/>
    </xf>
    <xf numFmtId="0" fontId="11" fillId="0" borderId="0" xfId="0" applyFont="1">
      <alignment vertical="center"/>
    </xf>
    <xf numFmtId="0" fontId="15" fillId="0" borderId="0" xfId="0" applyFont="1" applyAlignment="1">
      <alignment horizontal="left" vertical="center"/>
    </xf>
    <xf numFmtId="0" fontId="16" fillId="0" borderId="0" xfId="0" applyFont="1" applyAlignment="1">
      <alignment horizontal="left" vertical="center"/>
    </xf>
    <xf numFmtId="0" fontId="5" fillId="0" borderId="0" xfId="0" applyFont="1" applyAlignment="1">
      <alignment horizontal="left" vertical="top"/>
    </xf>
    <xf numFmtId="0" fontId="54" fillId="0" borderId="7" xfId="0" applyFont="1" applyFill="1" applyBorder="1" applyAlignment="1">
      <alignment vertical="center"/>
    </xf>
    <xf numFmtId="0" fontId="55" fillId="0" borderId="0" xfId="0" applyFont="1" applyFill="1" applyBorder="1" applyAlignment="1">
      <alignment vertical="center"/>
    </xf>
    <xf numFmtId="0" fontId="56" fillId="0" borderId="0" xfId="0" applyFont="1" applyFill="1" applyBorder="1" applyAlignment="1">
      <alignment vertical="top" wrapText="1"/>
    </xf>
    <xf numFmtId="0" fontId="57" fillId="0" borderId="0" xfId="0" applyFont="1" applyFill="1" applyBorder="1" applyAlignment="1">
      <alignment vertical="center" horizontal="center"/>
    </xf>
    <xf numFmtId="9" fontId="57" fillId="0" borderId="0" xfId="0" applyFont="1" applyFill="1" applyBorder="1" applyAlignment="1">
      <alignment vertical="center" horizontal="center"/>
    </xf>
    <xf numFmtId="0" fontId="58" fillId="0" borderId="0" xfId="0" applyFont="1" applyFill="1" applyBorder="1" applyAlignment="1">
      <alignment vertical="top" wrapText="1"/>
    </xf>
    <xf numFmtId="0" fontId="59" fillId="15" borderId="9" xfId="0" applyFont="1" applyFill="1" applyBorder="1" applyAlignment="1">
      <alignment vertical="center"/>
    </xf>
    <xf numFmtId="0" fontId="60" fillId="16" borderId="8" xfId="0" applyFont="1" applyFill="1" applyBorder="1" applyAlignment="1" applyProtection="1">
      <alignment vertical="top" wrapText="1"/>
      <protection locked="0"/>
    </xf>
    <xf numFmtId="0" fontId="61" fillId="0" borderId="0" xfId="0" applyFont="1" applyFill="1" applyBorder="1" applyAlignment="1">
      <alignment vertical="top" wrapText="1"/>
    </xf>
    <xf numFmtId="0" fontId="56" fillId="0" borderId="9" xfId="0" applyFont="1" applyFill="1" applyBorder="1" applyAlignment="1">
      <alignment vertical="top" wrapText="1"/>
    </xf>
    <xf numFmtId="0" fontId="56" fillId="0" borderId="9" xfId="0" applyFont="1" applyFill="1" applyBorder="1" applyAlignment="1">
      <alignment vertical="center" horizontal="center"/>
    </xf>
    <xf numFmtId="0" fontId="56" fillId="17" borderId="9" xfId="0" applyFont="1" applyFill="1" applyBorder="1" applyAlignment="1">
      <alignment vertical="top" wrapText="1"/>
    </xf>
    <xf numFmtId="0" fontId="62" fillId="15" borderId="9" xfId="0" applyFont="1" applyFill="1" applyBorder="1" applyAlignment="1">
      <alignment vertical="center" horizontal="center"/>
    </xf>
    <xf numFmtId="0" fontId="63" fillId="0" borderId="0" xfId="0" applyFont="1" applyFill="1" applyBorder="1" applyAlignment="1">
      <alignment vertical="center"/>
    </xf>
    <xf numFmtId="0" fontId="64" fillId="0" borderId="0" xfId="0" applyFont="1" applyFill="1" applyBorder="1" applyAlignment="1">
      <alignment vertical="center" horizontal="center"/>
    </xf>
    <xf numFmtId="0" fontId="65" fillId="15" borderId="9" xfId="0" applyFont="1" applyFill="1" applyBorder="1" applyAlignment="1">
      <alignment vertical="top" wrapText="1"/>
    </xf>
    <xf numFmtId="0" fontId="66" fillId="0" borderId="10" xfId="0" applyNumberFormat="1" applyFont="1" applyFill="1" applyBorder="1" applyAlignment="1">
      <alignment vertical="center"/>
    </xf>
    <xf numFmtId="0" fontId="67" fillId="0" borderId="0" xfId="0" applyNumberFormat="1" applyFont="1" applyFill="1" applyBorder="1" applyAlignment="1">
      <alignment vertical="center"/>
    </xf>
    <xf numFmtId="0" fontId="68" fillId="0" borderId="0" xfId="0" applyNumberFormat="1" applyFont="1" applyFill="1" applyBorder="1" applyAlignment="1">
      <alignment vertical="center"/>
    </xf>
    <xf numFmtId="0" fontId="75" fillId="0" borderId="0" xfId="0" applyNumberFormat="1" applyFont="1" applyFill="1" applyBorder="1" applyAlignment="1">
      <alignment vertical="center"/>
    </xf>
    <xf numFmtId="0" fontId="71" fillId="0" borderId="0" xfId="0" applyNumberFormat="1" applyFont="1" applyFill="1" applyBorder="1" applyAlignment="1">
      <alignment vertical="center" wrapText="1"/>
    </xf>
    <xf numFmtId="0" fontId="69" fillId="0" borderId="12" xfId="0" applyNumberFormat="1" applyFont="1" applyFill="1" applyBorder="1" applyAlignment="1">
      <alignment vertical="center" wrapText="1"/>
    </xf>
    <xf numFmtId="0" fontId="70" fillId="0" borderId="12" xfId="0" applyNumberFormat="1" applyFont="1" applyFill="1" applyBorder="1" applyAlignment="1">
      <alignment vertical="center" wrapText="1"/>
    </xf>
    <xf numFmtId="0" fontId="70" fillId="0" borderId="12" xfId="0" applyNumberFormat="1" applyFont="1" applyFill="1" applyBorder="1" applyAlignment="1">
      <alignment vertical="center" horizontal="center"/>
    </xf>
    <xf numFmtId="10" fontId="70" fillId="0" borderId="12" xfId="0" applyNumberFormat="1" applyFont="1" applyFill="1" applyBorder="1" applyAlignment="1">
      <alignment vertical="center" horizontal="center"/>
    </xf>
    <xf numFmtId="14" fontId="70" fillId="0" borderId="12" xfId="0" applyNumberFormat="1" applyFont="1" applyFill="1" applyBorder="1" applyAlignment="1">
      <alignment vertical="center" horizontal="center"/>
    </xf>
    <xf numFmtId="0" fontId="74" fillId="18" borderId="11" xfId="0" applyNumberFormat="1" applyFont="1" applyFill="1" applyBorder="1" applyAlignment="1">
      <alignment vertical="center" wrapText="1"/>
    </xf>
    <xf numFmtId="0" fontId="74" fillId="18" borderId="11" xfId="0" applyNumberFormat="1" applyFont="1" applyFill="1" applyBorder="1" applyAlignment="1">
      <alignment vertical="center" horizontal="center" wrapText="1"/>
    </xf>
    <xf numFmtId="0" fontId="72" fillId="19" borderId="13" xfId="0" applyNumberFormat="1" applyFont="1" applyFill="1" applyBorder="1" applyAlignment="1">
      <alignment vertical="center" horizontal="center"/>
    </xf>
    <xf numFmtId="9" fontId="72" fillId="19" borderId="13" xfId="0" applyNumberFormat="1" applyFont="1" applyFill="1" applyBorder="1" applyAlignment="1">
      <alignment vertical="center" horizontal="center"/>
    </xf>
    <xf numFmtId="0" fontId="73" fillId="19" borderId="13" xfId="0" applyNumberFormat="1" applyFont="1" applyFill="1" applyBorder="1" applyAlignment="1">
      <alignment vertical="center" horizontal="center" wrapText="1"/>
    </xf>
    <xf numFmtId="0" fontId="70" fillId="19" borderId="13" xfId="0" applyNumberFormat="1" applyFont="1" applyFill="1" applyBorder="1" applyAlignment="1">
      <alignment vertical="center" wrapText="1"/>
    </xf>
    <xf numFmtId="0" fontId="76" fillId="0" borderId="0" xfId="0" applyNumberFormat="1" applyFont="1" applyFill="1" applyBorder="1" applyAlignment="1">
      <alignment vertical="center"/>
    </xf>
    <xf numFmtId="0" fontId="77" fillId="0" borderId="14" xfId="0" applyNumberFormat="1" applyFont="1" applyFill="1" applyBorder="1" applyAlignment="1">
      <alignment vertical="center" horizontal="center"/>
    </xf>
    <xf numFmtId="0" fontId="77" fillId="0" borderId="0" xfId="0" applyNumberFormat="1" applyFont="1" applyFill="1" applyBorder="1" applyAlignment="1">
      <alignment vertical="center" horizontal="center"/>
    </xf>
    <xf numFmtId="0" fontId="78" fillId="0" borderId="0" xfId="0" applyNumberFormat="1" applyFont="1" applyFill="1" applyBorder="1" applyAlignment="1">
      <alignment vertical="center" horizontal="center"/>
    </xf>
    <xf numFmtId="0" fontId="78" fillId="0" borderId="0" xfId="0" applyNumberFormat="1" applyFont="1" applyFill="1" applyBorder="1" applyAlignment="1">
      <alignment vertical="center" horizontal="left"/>
    </xf>
    <xf numFmtId="0" fontId="79" fillId="0" borderId="15" xfId="0" applyNumberFormat="1" applyFont="1" applyFill="1" applyBorder="1" applyAlignment="1">
      <alignment vertical="center"/>
    </xf>
    <xf numFmtId="0" fontId="80" fillId="0" borderId="16" xfId="0" applyNumberFormat="1" applyFont="1" applyFill="1" applyBorder="1" applyAlignment="1">
      <alignment vertical="center"/>
    </xf>
    <xf numFmtId="0" fontId="81" fillId="0" borderId="17" xfId="0" applyNumberFormat="1" applyFont="1" applyFill="1" applyBorder="1" applyAlignment="1">
      <alignment vertical="center"/>
    </xf>
    <xf numFmtId="0" fontId="82" fillId="0" borderId="18" xfId="0" applyNumberFormat="1" applyFont="1" applyFill="1" applyBorder="1" applyAlignment="1">
      <alignment vertical="center"/>
    </xf>
    <xf numFmtId="0" fontId="83" fillId="0" borderId="18" xfId="0" applyNumberFormat="1" applyFont="1" applyFill="1" applyBorder="1" applyAlignment="1">
      <alignment vertical="center"/>
    </xf>
    <xf numFmtId="0" fontId="83" fillId="0" borderId="18" xfId="0" applyNumberFormat="1" applyFont="1" applyFill="1" applyBorder="1" applyAlignment="1">
      <alignment vertical="center" horizontal="right"/>
    </xf>
    <xf numFmtId="0" fontId="84" fillId="0" borderId="0" xfId="0" applyNumberFormat="1" applyFont="1" applyFill="1" applyBorder="1" applyAlignment="1">
      <alignment vertical="center"/>
    </xf>
    <xf numFmtId="0" fontId="85" fillId="0" borderId="0" xfId="0" applyNumberFormat="1" applyFont="1" applyFill="1" applyBorder="1" applyAlignment="1">
      <alignment vertical="center"/>
    </xf>
    <xf numFmtId="0" fontId="86" fillId="0" borderId="0" xfId="0" applyNumberFormat="1" applyFont="1" applyFill="1" applyBorder="1" applyAlignment="1">
      <alignment vertical="center"/>
    </xf>
    <xf numFmtId="0" fontId="87" fillId="0" borderId="0" xfId="0" applyNumberFormat="1" applyFont="1" applyFill="1" applyBorder="1" applyAlignment="1">
      <alignment vertical="center" wrapText="1"/>
    </xf>
    <xf numFmtId="0" fontId="88" fillId="0" borderId="0" xfId="0" applyNumberFormat="1" applyFont="1" applyFill="1" applyBorder="1" applyAlignment="1">
      <alignment vertical="top" wrapText="1"/>
    </xf>
    <xf numFmtId="0" fontId="94" fillId="0" borderId="0" xfId="0" applyNumberFormat="1" applyFont="1" applyFill="1" applyBorder="1" applyAlignment="1">
      <alignment vertical="center"/>
    </xf>
    <xf numFmtId="0" fontId="89" fillId="0" borderId="20" xfId="0" applyNumberFormat="1" applyFont="1" applyFill="1" applyBorder="1" applyAlignment="1">
      <alignment vertical="center" wrapText="1"/>
    </xf>
    <xf numFmtId="0" fontId="90" fillId="0" borderId="20" xfId="0" applyNumberFormat="1" applyFont="1" applyFill="1" applyBorder="1" applyAlignment="1">
      <alignment vertical="center" wrapText="1"/>
    </xf>
    <xf numFmtId="0" fontId="91" fillId="23" borderId="21" xfId="0" applyNumberFormat="1" applyFont="1" applyFill="1" applyBorder="1" applyAlignment="1" applyProtection="1">
      <alignment vertical="top" wrapText="1"/>
      <protection locked="0"/>
    </xf>
    <xf numFmtId="0" fontId="92" fillId="23" borderId="21" xfId="0" applyNumberFormat="1" applyFont="1" applyFill="1" applyBorder="1" applyAlignment="1" applyProtection="1">
      <alignment vertical="center" horizontal="center"/>
      <protection locked="0"/>
    </xf>
    <xf numFmtId="0" fontId="93" fillId="24" borderId="0" xfId="0" applyNumberFormat="1" applyFont="1" applyFill="1" applyBorder="1" applyAlignment="1">
      <alignment vertical="center" wrapText="1"/>
    </xf>
    <xf numFmtId="0" fontId="93" fillId="24" borderId="0" xfId="0" applyNumberFormat="1" applyFont="1" applyFill="1" applyBorder="1" applyAlignment="1">
      <alignment vertical="center" horizontal="center" wrapText="1"/>
    </xf>
    <xf numFmtId="0" fontId="90" fillId="0" borderId="20" xfId="0" applyNumberFormat="1" applyFont="1" applyFill="1" applyBorder="1" applyAlignment="1">
      <alignment vertical="center" wrapText="1"/>
    </xf>
    <xf numFmtId="0" fontId="90" fillId="0" borderId="20" xfId="0" applyNumberFormat="1" applyFont="1" applyFill="1" applyBorder="1" applyAlignment="1">
      <alignment vertical="center" horizontal="center"/>
    </xf>
    <xf numFmtId="0" fontId="92" fillId="0" borderId="20" xfId="0" applyNumberFormat="1" applyFont="1" applyFill="1" applyBorder="1" applyAlignment="1">
      <alignment vertical="center" horizontal="center"/>
    </xf>
    <xf numFmtId="9" fontId="92" fillId="0" borderId="20" xfId="0" applyNumberFormat="1" applyFont="1" applyFill="1" applyBorder="1" applyAlignment="1">
      <alignment vertical="center" horizontal="center"/>
    </xf>
    <xf numFmtId="0" fontId="95" fillId="21" borderId="22" xfId="0" applyNumberFormat="1" applyFont="1" applyFill="1" applyBorder="1" applyAlignment="1">
      <alignment vertical="center" horizontal="center"/>
    </xf>
    <xf numFmtId="0" fontId="96" fillId="21" borderId="22" xfId="0" applyNumberFormat="1" applyFont="1" applyFill="1" applyBorder="1" applyAlignment="1">
      <alignment vertical="center" horizontal="center" wrapText="1"/>
    </xf>
    <xf numFmtId="0" fontId="90" fillId="21" borderId="22" xfId="0" applyNumberFormat="1" applyFont="1" applyFill="1" applyBorder="1" applyAlignment="1">
      <alignment vertical="top" wrapText="1"/>
    </xf>
    <xf numFmtId="0" fontId="90" fillId="25" borderId="24" xfId="0" applyNumberFormat="1" applyFont="1" applyFill="1" applyBorder="1" applyAlignment="1">
      <alignment vertical="top" wrapText="1"/>
    </xf>
    <xf numFmtId="0" fontId="97" fillId="25" borderId="24" xfId="0" applyNumberFormat="1" applyFont="1" applyFill="1" applyBorder="1" applyAlignment="1">
      <alignment vertical="center"/>
    </xf>
    <xf numFmtId="0" fontId="90" fillId="26" borderId="25" xfId="0" applyNumberFormat="1" applyFont="1" applyFill="1" applyBorder="1" applyAlignment="1">
      <alignment vertical="top" wrapText="1"/>
    </xf>
    <xf numFmtId="0" fontId="98" fillId="26" borderId="25" xfId="0" applyNumberFormat="1" applyFont="1" applyFill="1" applyBorder="1" applyAlignment="1">
      <alignment vertical="center"/>
    </xf>
    <xf numFmtId="0" fontId="90" fillId="28" borderId="26" xfId="0" applyNumberFormat="1" applyFont="1" applyFill="1" applyBorder="1" applyAlignment="1">
      <alignment vertical="top" wrapText="1"/>
    </xf>
    <xf numFmtId="0" fontId="100" fillId="28" borderId="26" xfId="0" applyNumberFormat="1" applyFont="1" applyFill="1" applyBorder="1" applyAlignment="1">
      <alignment vertical="center"/>
    </xf>
    <xf numFmtId="0" fontId="101" fillId="0" borderId="0" xfId="0" applyNumberFormat="1" applyFont="1" applyFill="1" applyBorder="1" applyAlignment="1">
      <alignment vertical="center" wrapText="1"/>
    </xf>
    <xf numFmtId="0" fontId="101" fillId="0" borderId="0" xfId="0" applyNumberFormat="1" applyFont="1" applyFill="1" applyBorder="1" applyAlignment="1">
      <alignment vertical="center" horizontal="center"/>
    </xf>
    <xf numFmtId="0" fontId="102" fillId="22" borderId="20" xfId="0" applyNumberFormat="1" applyFont="1" applyFill="1" applyBorder="1" applyAlignment="1">
      <alignment vertical="center" horizontal="center"/>
    </xf>
    <xf numFmtId="0" fontId="92" fillId="23" borderId="21" xfId="0" applyNumberFormat="1" applyFont="1" applyFill="1" applyBorder="1" applyAlignment="1" applyProtection="1">
      <alignment vertical="center" horizontal="center"/>
      <protection locked="0"/>
    </xf>
    <xf numFmtId="0" fontId="104" fillId="22" borderId="27" xfId="0" applyNumberFormat="1" applyFont="1" applyFill="1" applyBorder="1" applyAlignment="1">
      <alignment vertical="center" horizontal="center"/>
    </xf>
    <xf numFmtId="0" fontId="105" fillId="24" borderId="0" xfId="0" applyNumberFormat="1" applyFont="1" applyFill="1" applyBorder="1" applyAlignment="1">
      <alignment vertical="center" horizontal="center"/>
    </xf>
    <xf numFmtId="0" fontId="106" fillId="0" borderId="20" xfId="0" applyNumberFormat="1" applyFont="1" applyFill="1" applyBorder="1" applyAlignment="1">
      <alignment vertical="center" wrapText="1"/>
    </xf>
    <xf numFmtId="0" fontId="103" fillId="0" borderId="0" xfId="0" applyNumberFormat="1" applyFont="1" applyFill="1" applyBorder="1" applyAlignment="1">
      <alignment vertical="center"/>
    </xf>
    <xf numFmtId="0" fontId="82" fillId="0" borderId="20" xfId="0" applyNumberFormat="1" applyFont="1" applyFill="1" applyBorder="1" applyAlignment="1">
      <alignment vertical="center"/>
    </xf>
    <xf numFmtId="0" fontId="90" fillId="29" borderId="0" xfId="0" applyNumberFormat="1" applyFont="1" applyFill="1" applyBorder="1" applyAlignment="1">
      <alignment vertical="center"/>
    </xf>
    <xf numFmtId="0" fontId="107" fillId="30" borderId="0" xfId="0" applyNumberFormat="1" applyFont="1" applyFill="1" applyBorder="1" applyAlignment="1">
      <alignment vertical="center"/>
    </xf>
    <xf numFmtId="0" fontId="108" fillId="30" borderId="0" xfId="0" applyNumberFormat="1" applyFont="1" applyFill="1" applyBorder="1" applyAlignment="1">
      <alignment vertical="center" horizontal="right"/>
    </xf>
    <xf numFmtId="0" fontId="107" fillId="30" borderId="0" xfId="0" applyNumberFormat="1" applyFont="1" applyFill="1" applyBorder="1" applyAlignment="1">
      <alignment vertical="center"/>
    </xf>
    <xf numFmtId="0" fontId="109" fillId="31" borderId="0" xfId="0" applyNumberFormat="1" applyFont="1" applyFill="1" applyBorder="1" applyAlignment="1">
      <alignment vertical="center" horizontal="center"/>
    </xf>
    <xf numFmtId="0" fontId="110" fillId="0" borderId="0" xfId="0" applyNumberFormat="1" applyFont="1" applyFill="1" applyBorder="1" applyAlignment="1">
      <alignment vertical="center" horizontal="center"/>
    </xf>
    <xf numFmtId="0" fontId="111" fillId="0" borderId="0" xfId="0" applyNumberFormat="1" applyFont="1" applyFill="1" applyBorder="1" applyAlignment="1">
      <alignment vertical="center" horizontal="center"/>
    </xf>
    <xf numFmtId="0" fontId="112" fillId="0" borderId="0" xfId="0" applyNumberFormat="1" applyFont="1" applyFill="1" applyBorder="1" applyAlignment="1">
      <alignment vertical="center"/>
    </xf>
    <xf numFmtId="0" fontId="113" fillId="0" borderId="0" xfId="0" applyNumberFormat="1" applyFont="1" applyFill="1" applyBorder="1" applyAlignment="1">
      <alignment vertical="center" wrapText="1"/>
    </xf>
    <xf numFmtId="0" fontId="114" fillId="32" borderId="22" xfId="0" applyNumberFormat="1" applyFont="1" applyFill="1" applyBorder="1" applyAlignment="1">
      <alignment vertical="center" horizontal="center"/>
    </xf>
    <xf numFmtId="0" fontId="115" fillId="32" borderId="22" xfId="0" applyNumberFormat="1" applyFont="1" applyFill="1" applyBorder="1" applyAlignment="1">
      <alignment vertical="center" horizontal="center"/>
    </xf>
    <xf numFmtId="0" fontId="116" fillId="32" borderId="22" xfId="0" applyNumberFormat="1" applyFont="1" applyFill="1" applyBorder="1" applyAlignment="1">
      <alignment vertical="center" horizontal="center" wrapText="1"/>
    </xf>
    <xf numFmtId="0" fontId="123" fillId="32" borderId="22" xfId="0" applyNumberFormat="1" applyFont="1" applyFill="1" applyBorder="1" applyAlignment="1">
      <alignment vertical="top" wrapText="1"/>
    </xf>
    <xf numFmtId="0" fontId="124" fillId="32" borderId="22" xfId="0" applyNumberFormat="1" applyFont="1" applyFill="1" applyBorder="1" applyAlignment="1">
      <alignment vertical="top"/>
    </xf>
    <xf numFmtId="0" fontId="117" fillId="0" borderId="0" xfId="0" applyNumberFormat="1" applyFont="1" applyFill="1" applyBorder="1" applyAlignment="1">
      <alignment vertical="center" wrapText="1"/>
    </xf>
    <xf numFmtId="0" fontId="118" fillId="0" borderId="0" xfId="0" applyNumberFormat="1" applyFont="1" applyFill="1" applyBorder="1" applyAlignment="1">
      <alignment vertical="center"/>
    </xf>
    <xf numFmtId="0" fontId="120" fillId="0" borderId="0" xfId="0" applyNumberFormat="1" applyFont="1" applyFill="1" applyBorder="1" applyAlignment="1">
      <alignment vertical="center" wrapText="1"/>
    </xf>
    <xf numFmtId="0" fontId="121" fillId="0" borderId="0" xfId="0" applyNumberFormat="1" applyFont="1" applyFill="1" applyBorder="1" applyAlignment="1">
      <alignment vertical="center" wrapText="1"/>
    </xf>
    <xf numFmtId="0" fontId="119" fillId="0" borderId="0" xfId="0" applyNumberFormat="1" applyFont="1" applyFill="1" applyBorder="1" applyAlignment="1">
      <alignment vertical="center"/>
    </xf>
    <xf numFmtId="0" fontId="122" fillId="33" borderId="0" xfId="0" applyNumberFormat="1" applyFont="1" applyFill="1" applyBorder="1" applyAlignment="1">
      <alignment vertical="center" horizontal="center"/>
    </xf>
    <xf numFmtId="0" fontId="125" fillId="33" borderId="0" xfId="0" applyNumberFormat="1" applyFont="1" applyFill="1" applyBorder="1" applyAlignment="1">
      <alignment vertical="center" horizontal="center"/>
    </xf>
    <xf numFmtId="0" fontId="126" fillId="29" borderId="0" xfId="0" applyNumberFormat="1" applyFont="1" applyFill="1" applyBorder="1" applyAlignment="1">
      <alignment vertical="center"/>
    </xf>
    <xf numFmtId="0" fontId="127" fillId="0" borderId="0" xfId="0" applyNumberFormat="1" applyFont="1" applyFill="1" applyBorder="1" applyAlignment="1">
      <alignment vertical="top" wrapText="1"/>
    </xf>
    <xf numFmtId="0" fontId="128" fillId="0" borderId="0" xfId="0" applyNumberFormat="1" applyFont="1" applyFill="1" applyBorder="1" applyAlignment="1">
      <alignment vertical="center" horizontal="center"/>
    </xf>
    <xf numFmtId="0" fontId="129" fillId="0" borderId="0" xfId="0" applyNumberFormat="1" applyFont="1" applyFill="1" applyBorder="1" applyAlignment="1">
      <alignment vertical="center"/>
    </xf>
    <xf numFmtId="0" fontId="130" fillId="0" borderId="0" xfId="0" applyNumberFormat="1" applyFont="1" applyFill="1" applyBorder="1" applyAlignment="1">
      <alignment vertical="top" wrapText="1"/>
    </xf>
    <xf numFmtId="0" fontId="131" fillId="23" borderId="21" xfId="0" applyNumberFormat="1" applyFont="1" applyFill="1" applyBorder="1" applyAlignment="1" applyProtection="1">
      <alignment vertical="center" wrapText="1"/>
      <protection locked="0"/>
    </xf>
    <xf numFmtId="0" fontId="132" fillId="0" borderId="20" xfId="0" applyNumberFormat="1" applyFont="1" applyFill="1" applyBorder="1" applyAlignment="1">
      <alignment vertical="center"/>
    </xf>
    <xf numFmtId="0" fontId="115" fillId="32" borderId="0" xfId="0" applyNumberFormat="1" applyFont="1" applyFill="1" applyBorder="1" applyAlignment="1">
      <alignment vertical="center" horizontal="center"/>
    </xf>
    <xf numFmtId="0" fontId="114" fillId="32" borderId="0" xfId="0" applyNumberFormat="1" applyFont="1" applyFill="1" applyBorder="1" applyAlignment="1">
      <alignment vertical="center" horizontal="center"/>
    </xf>
    <xf numFmtId="0" fontId="116" fillId="32" borderId="0" xfId="0" applyNumberFormat="1" applyFont="1" applyFill="1" applyBorder="1" applyAlignment="1">
      <alignment vertical="center" horizontal="center" wrapText="1"/>
    </xf>
    <xf numFmtId="0" fontId="133" fillId="32" borderId="0" xfId="0" applyNumberFormat="1" applyFont="1" applyFill="1" applyBorder="1" applyAlignment="1">
      <alignment vertical="top" wrapText="1"/>
    </xf>
    <xf numFmtId="0" fontId="134" fillId="32" borderId="0" xfId="0" applyNumberFormat="1" applyFont="1" applyFill="1" applyBorder="1" applyAlignment="1">
      <alignment vertical="top"/>
    </xf>
    <xf numFmtId="0" fontId="135" fillId="0" borderId="0" xfId="0" applyNumberFormat="1" applyFont="1" applyFill="1" applyBorder="1" applyAlignment="1">
      <alignment vertical="center" horizontal="left"/>
    </xf>
    <xf numFmtId="164" fontId="136" fillId="0" borderId="0" xfId="0" applyNumberFormat="1" applyFont="1" applyFill="1" applyBorder="1" applyAlignment="1">
      <alignment vertical="center" horizontal="left"/>
    </xf>
    <xf numFmtId="0" fontId="137" fillId="0" borderId="0" xfId="0" applyNumberFormat="1" applyFont="1" applyFill="1" applyBorder="1" applyAlignment="1">
      <alignment vertical="center" horizontal="center"/>
    </xf>
    <xf numFmtId="0" fontId="138" fillId="0" borderId="0" xfId="0" applyNumberFormat="1" applyFont="1" applyFill="1" applyBorder="1" applyAlignment="1">
      <alignment vertical="center" horizontal="left"/>
    </xf>
    <xf numFmtId="0" fontId="139" fillId="0" borderId="20" xfId="0" applyNumberFormat="1" applyFont="1" applyFill="1" applyBorder="1" applyAlignment="1">
      <alignment vertical="center"/>
    </xf>
    <xf numFmtId="0" fontId="140" fillId="0" borderId="20" xfId="0" applyNumberFormat="1" applyFont="1" applyFill="1" applyBorder="1" applyAlignment="1">
      <alignment vertical="center" horizontal="center"/>
    </xf>
    <xf numFmtId="0" fontId="141" fillId="0" borderId="0" xfId="0" applyNumberFormat="1" applyFont="1" applyFill="1" applyBorder="1" applyAlignment="1">
      <alignment vertical="top" wrapText="1"/>
    </xf>
    <xf numFmtId="0" fontId="142" fillId="0" borderId="0" xfId="0" applyNumberFormat="1" applyFont="1" applyFill="1" applyBorder="1" applyAlignment="1">
      <alignment vertical="top" wrapText="1"/>
    </xf>
    <xf numFmtId="0" fontId="143" fillId="0" borderId="0" xfId="0" applyNumberFormat="1" applyFont="1" applyFill="1" applyBorder="1" applyAlignment="1">
      <alignment vertical="center" horizontal="center"/>
    </xf>
    <xf numFmtId="0" fontId="144" fillId="0" borderId="0" xfId="0" applyNumberFormat="1" applyFont="1" applyFill="1" applyBorder="1" applyAlignment="1">
      <alignment vertical="center" wrapText="1"/>
    </xf>
    <xf numFmtId="0" fontId="145" fillId="0" borderId="0" xfId="0" applyNumberFormat="1" applyFont="1" applyFill="1" applyBorder="1" applyAlignment="1">
      <alignment vertical="top" wrapText="1"/>
    </xf>
    <xf numFmtId="0" fontId="146" fillId="0" borderId="0" xfId="0" applyNumberFormat="1" applyFont="1" applyFill="1" applyBorder="1" applyAlignment="1">
      <alignment vertical="top" wrapText="1"/>
    </xf>
    <xf numFmtId="0" fontId="147" fillId="0" borderId="0" xfId="0" applyNumberFormat="1" applyFont="1" applyFill="1" applyBorder="1" applyAlignment="1">
      <alignment vertical="top" wrapText="1"/>
    </xf>
    <xf numFmtId="0" fontId="148" fillId="0" borderId="0" xfId="0" applyNumberFormat="1" applyFont="1" applyFill="1" applyBorder="1" applyAlignment="1">
      <alignment vertical="center" horizontal="center"/>
    </xf>
    <xf numFmtId="0" fontId="149" fillId="0" borderId="0" xfId="0" applyNumberFormat="1" applyFont="1" applyFill="1" applyBorder="1" applyAlignment="1">
      <alignment vertical="top" wrapText="1"/>
    </xf>
    <xf numFmtId="0" fontId="150" fillId="0" borderId="20" xfId="0" applyNumberFormat="1" applyFont="1" applyFill="1" applyBorder="1" applyAlignment="1">
      <alignment vertical="center"/>
    </xf>
    <xf numFmtId="0" fontId="151" fillId="0" borderId="0" xfId="0" applyNumberFormat="1" applyFont="1" applyFill="1" applyBorder="1" applyAlignment="1">
      <alignment vertical="center" horizontal="center"/>
    </xf>
    <xf numFmtId="0" fontId="152" fillId="0" borderId="0" xfId="0" applyNumberFormat="1" applyFont="1" applyFill="1" applyBorder="1" applyAlignment="1">
      <alignment vertical="center" horizontal="center"/>
    </xf>
    <xf numFmtId="0" fontId="153" fillId="33" borderId="0" xfId="0" applyNumberFormat="1" applyFont="1" applyFill="1" applyBorder="1" applyAlignment="1">
      <alignment vertical="center" horizontal="center"/>
    </xf>
    <xf numFmtId="0" fontId="154" fillId="0" borderId="0" xfId="0" applyNumberFormat="1" applyFont="1" applyFill="1" applyBorder="1" applyAlignment="1">
      <alignment vertical="center"/>
    </xf>
    <xf numFmtId="0" fontId="155" fillId="0" borderId="0" xfId="0" applyNumberFormat="1" applyFont="1" applyFill="1" applyBorder="1" applyAlignment="1">
      <alignment vertical="center" wrapText="1"/>
    </xf>
    <xf numFmtId="0" fontId="156" fillId="0" borderId="0" xfId="0" applyNumberFormat="1" applyFont="1" applyFill="1" applyBorder="1" applyAlignment="1">
      <alignment vertical="top" wrapText="1"/>
    </xf>
    <xf numFmtId="0" fontId="157" fillId="0" borderId="0" xfId="0" applyNumberFormat="1" applyFont="1" applyFill="1" applyBorder="1" applyAlignment="1">
      <alignment vertical="center"/>
    </xf>
    <xf numFmtId="0" fontId="158" fillId="0" borderId="0" xfId="0" applyNumberFormat="1" applyFont="1" applyFill="1" applyBorder="1" applyAlignment="1">
      <alignment vertical="top" wrapText="1"/>
    </xf>
    <xf numFmtId="0" fontId="159" fillId="0" borderId="28" xfId="0" applyNumberFormat="1" applyFont="1" applyFill="1" applyBorder="1" applyAlignment="1">
      <alignment vertical="center"/>
    </xf>
    <xf numFmtId="0" fontId="160" fillId="34" borderId="0" xfId="0" applyNumberFormat="1" applyFont="1" applyFill="1" applyBorder="1" applyAlignment="1">
      <alignment vertical="center" horizontal="center"/>
    </xf>
    <xf numFmtId="0" fontId="160" fillId="35" borderId="0" xfId="0" applyNumberFormat="1" applyFont="1" applyFill="1" applyBorder="1" applyAlignment="1">
      <alignment vertical="center" horizontal="center"/>
    </xf>
    <xf numFmtId="0" fontId="160" fillId="36" borderId="0" xfId="0" applyNumberFormat="1" applyFont="1" applyFill="1" applyBorder="1" applyAlignment="1">
      <alignment vertical="center" horizontal="center"/>
    </xf>
    <xf numFmtId="0" fontId="160" fillId="37" borderId="0" xfId="0" applyNumberFormat="1" applyFont="1" applyFill="1" applyBorder="1" applyAlignment="1">
      <alignment vertical="center" horizontal="center"/>
    </xf>
    <xf numFmtId="0" fontId="161" fillId="38" borderId="0" xfId="0" applyNumberFormat="1" applyFont="1" applyFill="1" applyBorder="1" applyAlignment="1">
      <alignment vertical="center" horizontal="center"/>
    </xf>
    <xf numFmtId="0" fontId="160" fillId="34" borderId="30" xfId="0" applyNumberFormat="1" applyFont="1" applyFill="1" applyBorder="1" applyAlignment="1">
      <alignment vertical="center" horizontal="center"/>
    </xf>
    <xf numFmtId="0" fontId="160" fillId="36" borderId="30" xfId="0" applyNumberFormat="1" applyFont="1" applyFill="1" applyBorder="1" applyAlignment="1">
      <alignment vertical="center" horizontal="center"/>
    </xf>
    <xf numFmtId="0" fontId="160" fillId="36" borderId="31" xfId="0" applyNumberFormat="1" applyFont="1" applyFill="1" applyBorder="1" applyAlignment="1">
      <alignment vertical="center" horizontal="center"/>
    </xf>
    <xf numFmtId="0" fontId="160" fillId="37" borderId="31" xfId="0" applyNumberFormat="1" applyFont="1" applyFill="1" applyBorder="1" applyAlignment="1">
      <alignment vertical="center" horizontal="center"/>
    </xf>
    <xf numFmtId="0" fontId="160" fillId="36" borderId="29" xfId="0" applyNumberFormat="1" applyFont="1" applyFill="1" applyBorder="1" applyAlignment="1">
      <alignment vertical="center" horizontal="center"/>
    </xf>
    <xf numFmtId="0" fontId="160" fillId="34" borderId="32" xfId="0" applyNumberFormat="1" applyFont="1" applyFill="1" applyBorder="1" applyAlignment="1">
      <alignment vertical="center" horizontal="center"/>
    </xf>
    <xf numFmtId="0" fontId="160" fillId="36" borderId="32" xfId="0" applyNumberFormat="1" applyFont="1" applyFill="1" applyBorder="1" applyAlignment="1">
      <alignment vertical="center" horizontal="center"/>
    </xf>
    <xf numFmtId="0" fontId="160" fillId="36" borderId="33" xfId="0" applyNumberFormat="1" applyFont="1" applyFill="1" applyBorder="1" applyAlignment="1">
      <alignment vertical="center" horizontal="center"/>
    </xf>
    <xf numFmtId="0" fontId="160" fillId="37" borderId="33" xfId="0" applyNumberFormat="1" applyFont="1" applyFill="1" applyBorder="1" applyAlignment="1">
      <alignment vertical="center" horizontal="center"/>
    </xf>
    <xf numFmtId="0" fontId="162" fillId="0" borderId="0" xfId="0" applyNumberFormat="1" applyFont="1" applyFill="1" applyBorder="1" applyAlignment="1">
      <alignment vertical="center" horizontal="left"/>
    </xf>
    <xf numFmtId="0" fontId="163" fillId="0" borderId="0" xfId="0" applyNumberFormat="1" applyFont="1" applyFill="1" applyBorder="1" applyAlignment="1">
      <alignment vertical="center" horizontal="center"/>
    </xf>
    <xf numFmtId="0" fontId="164" fillId="0" borderId="0" xfId="0" applyNumberFormat="1" applyFont="1" applyFill="1" applyBorder="1" applyAlignment="1">
      <alignment vertical="center" wrapText="1"/>
    </xf>
  </cellXfs>
  <cellStyles count="15">
    <cellStyle name="Normal" xfId="0" builtinId="0"/>
    <cellStyle name="IK · Título" xfId="1"/>
    <cellStyle name="IK · Instrucción" xfId="2"/>
    <cellStyle name="IK · Encabezado" xfId="3"/>
    <cellStyle name="IK · Subencabezado" xfId="4"/>
    <cellStyle name="IK · Editable" xfId="5"/>
    <cellStyle name="IK · Calculada" xfId="6"/>
    <cellStyle name="IK · Bloqueada" xfId="7"/>
    <cellStyle name="IK · Resultado" xfId="8"/>
    <cellStyle name="IK · Advertencia" xfId="9"/>
    <cellStyle name="IK · Error" xfId="10"/>
    <cellStyle name="IK · Separador" xfId="11"/>
    <cellStyle name="IK · Tarjeta" xfId="12"/>
    <cellStyle name="IK · Nota" xfId="13"/>
    <cellStyle name="IK · Navegación" xfId="14"/>
  </cellStyles>
  <dxfs count="41">
    <dxf>
      <font>
        <b/>
        <sz val="10"/>
        <color rgb="FF9A6212"/>
        <name val="Aptos"/>
        <charset val="1"/>
      </font>
      <fill>
        <patternFill>
          <bgColor rgb="FFFBF1DF"/>
        </patternFill>
      </fill>
    </dxf>
    <dxf>
      <font>
        <b/>
        <sz val="10"/>
        <color rgb="FF9A6212"/>
        <name val="Aptos"/>
        <charset val="1"/>
      </font>
      <fill>
        <patternFill>
          <bgColor rgb="FFFBF1DF"/>
        </patternFill>
      </fill>
    </dxf>
    <dxf>
      <font>
        <b/>
        <sz val="10"/>
        <color rgb="FF9A6212"/>
        <name val="Aptos"/>
        <charset val="1"/>
      </font>
      <fill>
        <patternFill>
          <bgColor rgb="FFFBF1DF"/>
        </patternFill>
      </fill>
    </dxf>
    <dxf>
      <font>
        <b/>
        <sz val="10"/>
        <color rgb="FFB3261E"/>
        <name val="Aptos"/>
        <charset val="1"/>
      </font>
      <fill>
        <patternFill>
          <bgColor rgb="FFFBEAE8"/>
        </patternFill>
      </fill>
    </dxf>
    <dxf>
      <font>
        <b/>
        <sz val="10"/>
        <color rgb="FFB3261E"/>
        <name val="Aptos"/>
        <charset val="1"/>
      </font>
      <fill>
        <patternFill>
          <bgColor rgb="FFFBEAE8"/>
        </patternFill>
      </fill>
    </dxf>
    <dxf>
      <font>
        <b/>
        <sz val="10"/>
        <color rgb="FFB3261E"/>
        <name val="Aptos"/>
        <charset val="1"/>
      </font>
      <fill>
        <patternFill>
          <bgColor rgb="FFFBEAE8"/>
        </patternFill>
      </fill>
    </dxf>
    <dxf>
      <font>
        <b/>
        <sz val="10"/>
        <color rgb="FF1E7A4C"/>
        <name val="Aptos"/>
        <charset val="1"/>
      </font>
      <fill>
        <patternFill>
          <bgColor rgb="FFE8F4EE"/>
        </patternFill>
      </fill>
    </dxf>
    <dxf>
      <font>
        <b/>
        <sz val="10"/>
        <color rgb="FF1E7A4C"/>
        <name val="Aptos"/>
        <charset val="1"/>
      </font>
      <fill>
        <patternFill>
          <bgColor rgb="FFE8F4EE"/>
        </patternFill>
      </fill>
    </dxf>
    <dxf>
      <font>
        <b/>
        <sz val="10"/>
        <color rgb="FF9A6212"/>
        <name val="Aptos"/>
        <charset val="1"/>
      </font>
      <fill>
        <patternFill>
          <bgColor rgb="FFFBF1DF"/>
        </patternFill>
      </fill>
    </dxf>
    <dxf>
      <font>
        <b/>
        <sz val="10"/>
        <color rgb="FF1E7A4C"/>
        <name val="Aptos"/>
        <charset val="1"/>
      </font>
      <fill>
        <patternFill>
          <bgColor rgb="FFE8F4EE"/>
        </patternFill>
      </fill>
    </dxf>
    <dxf>
      <font>
        <b/>
        <sz val="10"/>
        <color rgb="FF9A6212"/>
        <name val="Aptos"/>
        <charset val="1"/>
      </font>
      <fill>
        <patternFill>
          <bgColor rgb="FFFBF1DF"/>
        </patternFill>
      </fill>
    </dxf>
    <dxf>
      <font>
        <b/>
        <sz val="10"/>
        <color rgb="FF9A6212"/>
        <name val="Aptos"/>
        <charset val="1"/>
      </font>
      <fill>
        <patternFill>
          <bgColor rgb="FFFBF1DF"/>
        </patternFill>
      </fill>
    </dxf>
    <dxf>
      <font>
        <b/>
        <sz val="10"/>
        <color rgb="FFB3261E"/>
        <name val="Aptos"/>
        <charset val="1"/>
      </font>
      <fill>
        <patternFill>
          <bgColor rgb="FFFBEAE8"/>
        </patternFill>
      </fill>
    </dxf>
    <dxf>
      <font>
        <b/>
        <sz val="10"/>
        <color rgb="FF1E7A4C"/>
        <name val="Aptos"/>
        <charset val="1"/>
      </font>
      <fill>
        <patternFill>
          <bgColor rgb="FFE8F4EE"/>
        </patternFill>
      </fill>
    </dxf>
    <dxf>
      <fill>
        <patternFill>
          <bgColor rgb="FFFBEAE8"/>
        </patternFill>
      </fill>
    </dxf>
    <dxf>
      <font>
        <b/>
        <sz val="10"/>
        <color rgb="FF9A6212"/>
        <name val="Aptos"/>
        <charset val="1"/>
      </font>
      <fill>
        <patternFill>
          <bgColor rgb="FFFBF1DF"/>
        </patternFill>
      </fill>
    </dxf>
    <dxf>
      <font>
        <b/>
        <sz val="10"/>
        <color rgb="FFB3261E"/>
        <name val="Aptos"/>
        <charset val="1"/>
      </font>
      <fill>
        <patternFill>
          <bgColor rgb="FFFBEAE8"/>
        </patternFill>
      </fill>
    </dxf>
    <dxf>
      <font>
        <b/>
        <sz val="10"/>
        <color rgb="FF9A6212"/>
        <name val="Aptos"/>
        <charset val="1"/>
      </font>
      <fill>
        <patternFill>
          <bgColor rgb="FFE6C86E"/>
        </patternFill>
      </fill>
    </dxf>
    <dxf>
      <font>
        <b/>
        <sz val="10"/>
        <color rgb="FF1E7A4C"/>
        <name val="Aptos"/>
        <charset val="1"/>
      </font>
      <fill>
        <patternFill>
          <bgColor rgb="FF9DC3B4"/>
        </patternFill>
      </fill>
    </dxf>
    <dxf>
      <fill>
        <patternFill>
          <bgColor rgb="FFE6C86E"/>
        </patternFill>
      </fill>
    </dxf>
    <dxf>
      <fill>
        <patternFill>
          <bgColor rgb="FFEDF0F4"/>
        </patternFill>
      </fill>
    </dxf>
    <dxf>
      <fill>
        <patternFill>
          <bgColor rgb="FFC3DAF0"/>
        </patternFill>
      </fill>
    </dxf>
    <dxf>
      <fill>
        <patternFill>
          <bgColor rgb="FFE0A08F"/>
        </patternFill>
      </fill>
    </dxf>
    <dxf>
      <fill>
        <patternFill>
          <bgColor rgb="FF9DC3B4"/>
        </patternFill>
      </fill>
    </dxf>
    <dxf>
      <fill>
        <patternFill>
          <bgColor rgb="FFE6C86E"/>
        </patternFill>
      </fill>
    </dxf>
    <dxf>
      <fill>
        <patternFill>
          <bgColor rgb="FFEDF0F4"/>
        </patternFill>
      </fill>
    </dxf>
    <dxf>
      <fill>
        <patternFill>
          <bgColor rgb="FFC3DAF0"/>
        </patternFill>
      </fill>
    </dxf>
    <dxf>
      <fill>
        <patternFill>
          <bgColor rgb="FFE0A08F"/>
        </patternFill>
      </fill>
    </dxf>
    <dxf>
      <fill>
        <patternFill>
          <bgColor rgb="FF9DC3B4"/>
        </patternFill>
      </fill>
    </dxf>
    <dxf>
      <fill>
        <patternFill>
          <bgColor rgb="FFE6C86E"/>
        </patternFill>
      </fill>
    </dxf>
    <dxf>
      <fill>
        <patternFill>
          <bgColor rgb="FFEDF0F4"/>
        </patternFill>
      </fill>
    </dxf>
    <dxf>
      <fill>
        <patternFill>
          <bgColor rgb="FFC3DAF0"/>
        </patternFill>
      </fill>
    </dxf>
    <dxf>
      <fill>
        <patternFill>
          <bgColor rgb="FFE0A08F"/>
        </patternFill>
      </fill>
    </dxf>
    <dxf>
      <fill>
        <patternFill>
          <bgColor rgb="FF9DC3B4"/>
        </patternFill>
      </fill>
    </dxf>
    <dxf>
      <fill>
        <patternFill>
          <bgColor rgb="FFFBEAE8"/>
        </patternFill>
      </fill>
    </dxf>
    <dxf>
      <font>
        <b/>
        <sz val="10"/>
        <color rgb="FF9A6212"/>
        <name val="Aptos"/>
        <charset val="1"/>
      </font>
      <fill>
        <patternFill>
          <bgColor rgb="FFE6C86E"/>
        </patternFill>
      </fill>
    </dxf>
    <dxf>
      <fill>
        <patternFill>
          <bgColor rgb="FFEAF1F9"/>
        </patternFill>
      </fill>
    </dxf>
    <dxf>
      <fill>
        <patternFill>
          <bgColor rgb="FFC3DAF0"/>
        </patternFill>
      </fill>
    </dxf>
    <dxf>
      <fill>
        <patternFill>
          <bgColor rgb="FF8FBBE4"/>
        </patternFill>
      </fill>
    </dxf>
    <dxf>
      <font>
        <b/>
        <sz val="9"/>
        <color rgb="FF9A6212"/>
        <name val="Aptos"/>
        <charset val="1"/>
      </font>
      <fill>
        <patternFill>
          <bgColor rgb="FFE6C86E"/>
        </patternFill>
      </fill>
    </dxf>
    <dxf>
      <fill>
        <patternFill>
          <bgColor rgb="FFFBEAE8"/>
        </patternFill>
      </fill>
    </dxf>
  </dxfs>
  <tableStyles count="0" defaultTableStyle="TableStyleMedium2" defaultPivotStyle="PivotStyleLight16"/>
  <colors>
    <indexedColors>
      <rgbColor rgb="FF000000"/>
      <rgbColor rgb="FFFFFFFF"/>
      <rgbColor rgb="FFC00000"/>
      <rgbColor rgb="FF00FF00"/>
      <rgbColor rgb="FF0000C0"/>
      <rgbColor rgb="FFFFE699"/>
      <rgbColor rgb="FFFF00FF"/>
      <rgbColor rgb="FFF4F6F8"/>
      <rgbColor rgb="FF9C0006"/>
      <rgbColor rgb="FF006100"/>
      <rgbColor rgb="FF000080"/>
      <rgbColor rgb="FF7F6000"/>
      <rgbColor rgb="FF800080"/>
      <rgbColor rgb="FF2E75B6"/>
      <rgbColor rgb="FFBFBFBF"/>
      <rgbColor rgb="FF878787"/>
      <rgbColor rgb="FFC5E0F5"/>
      <rgbColor rgb="FF9C6500"/>
      <rgbColor rgb="FFFFF9E6"/>
      <rgbColor rgb="FFE4F0FA"/>
      <rgbColor rgb="FF660066"/>
      <rgbColor rgb="FFFFD9D9"/>
      <rgbColor rgb="FF0563C1"/>
      <rgbColor rgb="FFBDD7EE"/>
      <rgbColor rgb="FF000080"/>
      <rgbColor rgb="FFFF00FF"/>
      <rgbColor rgb="FFE7E6E6"/>
      <rgbColor rgb="FF00FFFF"/>
      <rgbColor rgb="FF800080"/>
      <rgbColor rgb="FF800000"/>
      <rgbColor rgb="FF44546A"/>
      <rgbColor rgb="FF0000FF"/>
      <rgbColor rgb="FF00CCFF"/>
      <rgbColor rgb="FFDEEAF6"/>
      <rgbColor rgb="FFC6EFCE"/>
      <rgbColor rgb="FFFFEB9C"/>
      <rgbColor rgb="FF9DC3E6"/>
      <rgbColor rgb="FFFFC7CE"/>
      <rgbColor rgb="FFB4C6E7"/>
      <rgbColor rgb="FFF8CBAD"/>
      <rgbColor rgb="FF4472C4"/>
      <rgbColor rgb="FFD9D9D9"/>
      <rgbColor rgb="FFC6E0B4"/>
      <rgbColor rgb="FFFFC000"/>
      <rgbColor rgb="FFBF8F00"/>
      <rgbColor rgb="FFED7D31"/>
      <rgbColor rgb="FF595959"/>
      <rgbColor rgb="FFA5A5A5"/>
      <rgbColor rgb="FF0F2B46"/>
      <rgbColor rgb="FF70AD47"/>
      <rgbColor rgb="FF003300"/>
      <rgbColor rgb="FF375623"/>
      <rgbColor rgb="FF7F3F00"/>
      <rgbColor rgb="FF993366"/>
      <rgbColor rgb="FF1F4E79"/>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sharedStrings" Target="sharedStrings.xml"/><Relationship Id="rId11" Type="http://schemas.openxmlformats.org/officeDocument/2006/relationships/worksheet" Target="worksheets/sheet11.xml"/><Relationship Id="rId24" Type="http://schemas.openxmlformats.org/officeDocument/2006/relationships/styles" Target="styles.xml"/><Relationship Id="rId23"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22" Type="http://schemas.openxmlformats.org/officeDocument/2006/relationships/worksheet" Target="worksheets/sheet22.xml"/><Relationship Id="rId27" Type="http://schemas.openxmlformats.org/officeDocument/2006/relationships/worksheet" Target="worksheets/sheet23.xml"/><Relationship Id="rId28" Type="http://schemas.openxmlformats.org/officeDocument/2006/relationships/worksheet" Target="worksheets/sheet24.xml"/><Relationship Id="rId29" Type="http://schemas.openxmlformats.org/officeDocument/2006/relationships/worksheet" Target="worksheets/sheet25.xml"/><Relationship Id="rId30" Type="http://schemas.openxmlformats.org/officeDocument/2006/relationships/worksheet" Target="worksheets/sheet26.xml"/><Relationship Id="rId31" Type="http://schemas.openxmlformats.org/officeDocument/2006/relationships/worksheet" Target="worksheets/sheet27.xml"/><Relationship Id="rId32" Type="http://schemas.openxmlformats.org/officeDocument/2006/relationships/worksheet" Target="worksheets/sheet28.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4.xml><?xml version="1.0" encoding="utf-8"?>
<worksheet xmlns="http://schemas.openxmlformats.org/spreadsheetml/2006/main" xmlns:r="http://schemas.openxmlformats.org/officeDocument/2006/relationships">
  <sheetPr>
    <tabColor rgb="FF94A0AE"/>
    <pageSetUpPr fitToPage="1"/>
  </sheetPr>
  <dimension ref="A1:D31"/>
  <sheetViews>
    <sheetView showGridLines="0" zoomScaleNormal="100" workbookViewId="0">
      <pane ySplit="6" topLeftCell="A7" activePane="bottomLeft" state="frozen"/>
    </sheetView>
  </sheetViews>
  <sheetFormatPr baseColWidth="10" defaultRowHeight="15"/>
  <cols>
    <col min="1" max="1" width="3" customWidth="1"/>
    <col min="2" max="2" width="30" customWidth="1"/>
    <col min="3" max="3" width="62" customWidth="1"/>
    <col min="4" max="4" width="22" customWidth="1"/>
  </cols>
  <sheetData>
    <row r="1" ht="26" customHeight="1">
      <c r="A1" s="157"/>
      <c r="B1" s="157" t="inlineStr">
        <is>
          <t xml:space="preserve">MICMAC  ESSENTIALS</t>
        </is>
      </c>
      <c r="C1" s="157"/>
      <c r="D1" s="158" t="inlineStr">
        <is>
          <t xml:space="preserve">Consulta</t>
        </is>
      </c>
    </row>
    <row r="2" ht="20" customHeight="1">
      <c r="B2" s="162" t="inlineStr">
        <is>
          <t xml:space="preserve">◀ Volver al inicio</t>
        </is>
      </c>
    </row>
    <row r="3" ht="34" customHeight="1">
      <c r="B3" s="163" t="inlineStr">
        <is>
          <t xml:space="preserve">Ocho dudas, resueltas</t>
        </is>
      </c>
    </row>
    <row r="4" ht="22" customHeight="1">
      <c r="B4" s="164" t="inlineStr">
        <is>
          <t xml:space="preserve">Consulte lo que necesite. Vuelve exactamente donde estaba.</t>
        </is>
      </c>
    </row>
    <row r="5" ht="32" customHeight="1">
      <c r="A5" s="168"/>
      <c r="B5" s="199" t="inlineStr">
        <is>
          <t xml:space="preserve">Por qué importa: con estas ocho respuestas puede aplicar el método entero. No hace falta abrir el manual en ningún momento del recorrido.</t>
        </is>
      </c>
      <c r="C5" s="168"/>
      <c r="D5" s="168"/>
    </row>
    <row r="6" ht="8" customHeight="1">
      <c r="B6" s="183"/>
    </row>
    <row r="7" ht="48" customHeight="1">
      <c r="B7" s="200" t="inlineStr">
        <is>
          <t xml:space="preserve">¿Qué significa cada valor?</t>
        </is>
      </c>
      <c r="C7" s="203" t="inlineStr">
        <is>
          <t xml:space="preserve">0 sin influencia · 1 débil · 2 media · 3 fuerte · 4 potencial. El 3 significa que un cambio en el factor de la fila produce un cambio claro en el de la columna. El 1 indica un efecto marginal o muy condicionado.</t>
        </is>
      </c>
    </row>
    <row r="8" ht="6" customHeight="1">
      <c r="B8" s="183"/>
      <c r="C8" s="183"/>
      <c r="D8" s="183"/>
    </row>
    <row r="9" ht="48" customHeight="1">
      <c r="B9" s="200" t="inlineStr">
        <is>
          <t xml:space="preserve">¿Por qué el 4 no cuenta como influencia?</t>
        </is>
      </c>
      <c r="C9" s="203" t="inlineStr">
        <is>
          <t xml:space="preserve">El 4 registra una influencia potencial: una relación que hoy no se observa y que, según el panel, podría establecerse dentro del horizonte temporal definido en el estudio. Para el análisis directo se convierte en 0; para el potencial, en 3.</t>
        </is>
      </c>
    </row>
    <row r="10" ht="6" customHeight="1">
      <c r="B10" s="183"/>
      <c r="C10" s="183"/>
      <c r="D10" s="183"/>
    </row>
    <row r="11" ht="48" customHeight="1">
      <c r="B11" s="200" t="inlineStr">
        <is>
          <t xml:space="preserve">¿Qué quiere decir «directamente»?</t>
        </is>
      </c>
      <c r="C11" s="203" t="inlineStr">
        <is>
          <t xml:space="preserve">Sin factores intermedios. Si la fila llega a la columna a través de un tercer factor de su lista, la relación es indirecta: escriba 0 y el cálculo la recupera al elevar la matriz. Es el error más frecuente del método.</t>
        </is>
      </c>
    </row>
    <row r="12" ht="6" customHeight="1">
      <c r="B12" s="183"/>
      <c r="C12" s="183"/>
      <c r="D12" s="183"/>
    </row>
    <row r="13" ht="48" customHeight="1">
      <c r="B13" s="200" t="inlineStr">
        <is>
          <t xml:space="preserve">¿Qué es la zona de pelotón?</t>
        </is>
      </c>
      <c r="C13" s="203" t="inlineStr">
        <is>
          <t xml:space="preserve">La banda central donde la clasificación no discrimina. Un factor situado ahí no es de entrada, ni de enlace, ni de resultado: el método no permite concluir su papel.</t>
        </is>
      </c>
    </row>
    <row r="14" ht="6" customHeight="1">
      <c r="B14" s="183"/>
      <c r="C14" s="183"/>
      <c r="D14" s="183"/>
    </row>
    <row r="15" ht="48" customHeight="1">
      <c r="B15" s="200" t="inlineStr">
        <is>
          <t xml:space="preserve">¿Por qué cambia la clasificación indirecta?</t>
        </is>
      </c>
      <c r="C15" s="203" t="inlineStr">
        <is>
          <t xml:space="preserve">La directa recoge lo que usted declaró. La indirecta encadena esas relaciones y revela influencias que nadie enunció. Elevar la matriz es lo que aporta el método.</t>
        </is>
      </c>
    </row>
    <row r="16" ht="6" customHeight="1">
      <c r="B16" s="183"/>
      <c r="C16" s="183"/>
      <c r="D16" s="183"/>
    </row>
    <row r="17" ht="48" customHeight="1">
      <c r="B17" s="200" t="inlineStr">
        <is>
          <t xml:space="preserve">¿Qué es un factor oculto?</t>
        </is>
      </c>
      <c r="C17" s="203" t="inlineStr">
        <is>
          <t xml:space="preserve">El que sube con fuerza de la clasificación directa a la indirecta. Influye mucho más de lo que el panel percibía. Es el hallazgo central de MICMAC.</t>
        </is>
      </c>
    </row>
    <row r="18" ht="6" customHeight="1">
      <c r="B18" s="183"/>
      <c r="C18" s="183"/>
      <c r="D18" s="183"/>
    </row>
    <row r="19" ht="48" customHeight="1">
      <c r="B19" s="200" t="inlineStr">
        <is>
          <t xml:space="preserve">¿Cómo se lee cada papel?</t>
        </is>
      </c>
      <c r="C19" s="203" t="inlineStr">
        <is>
          <t xml:space="preserve">Entrada: influencia alta y dependencia baja. Enlace: ambas altas, de ahí su inestabilidad. Resultado: dependencia alta e influencia baja. Excluido: ambas bajas.</t>
        </is>
      </c>
    </row>
    <row r="20" ht="6" customHeight="1">
      <c r="B20" s="183"/>
      <c r="C20" s="183"/>
      <c r="D20" s="183"/>
    </row>
    <row r="21" ht="48" customHeight="1">
      <c r="B21" s="200" t="inlineStr">
        <is>
          <t xml:space="preserve">¿Qué densidad es normal?</t>
        </is>
      </c>
      <c r="C21" s="203" t="inlineStr">
        <is>
          <t xml:space="preserve">Entre el 20 % y el 25 % de relaciones no nulas. Por debajo del 10 % el sistema puede estar mal delimitado; por encima del 40 %, suelen haberse registrado influencias indirectas como directas.</t>
        </is>
      </c>
    </row>
    <row r="22" ht="22" customHeight="1">
      <c r="B22" s="192" t="inlineStr">
        <is>
          <t xml:space="preserve">LO QUE ESTA EDICIÓN DECIDE POR USTED</t>
        </is>
      </c>
      <c r="C22" s="183"/>
      <c r="D22" s="183"/>
    </row>
    <row r="23" ht="24" customHeight="1">
      <c r="B23" s="180" t="inlineStr">
        <is>
          <t xml:space="preserve">Amplitud de la zona de pelotón</t>
        </is>
      </c>
      <c r="C23" s="137">
        <v>0.1</v>
      </c>
      <c r="D23" s="147" t="inlineStr">
        <is>
          <t xml:space="preserve">del recorrido de cada eje</t>
        </is>
      </c>
    </row>
    <row r="24" ht="24" customHeight="1">
      <c r="B24" s="180" t="inlineStr">
        <is>
          <t xml:space="preserve">Potencia de estabilización</t>
        </is>
      </c>
      <c r="C24" s="134" t="inlineStr">
        <is>
          <t xml:space="preserve">MID³, con verificación hasta MID⁴</t>
        </is>
      </c>
      <c r="D24" s="147"/>
    </row>
    <row r="25" ht="24" customHeight="1">
      <c r="B25" s="180" t="inlineStr">
        <is>
          <t xml:space="preserve">Convención del valor 4</t>
        </is>
      </c>
      <c r="C25" s="134" t="inlineStr">
        <is>
          <t xml:space="preserve">Directo: 4 → 0.   Potencial: 4 → 3</t>
        </is>
      </c>
      <c r="D25" s="147"/>
    </row>
    <row r="26" ht="22" customHeight="1">
      <c r="B26" s="178" t="inlineStr">
        <is>
          <t xml:space="preserve">Son los valores por defecto de la edición Professional. Se declaran porque ninguna decisión de esta herramienta es invisible.</t>
        </is>
      </c>
    </row>
    <row r="28" ht="22" customHeight="1">
      <c r="B28" s="192" t="inlineStr">
        <is>
          <t xml:space="preserve">DE DÓNDE VIENE EL MÉTODO</t>
        </is>
      </c>
    </row>
    <row r="29" ht="32" customHeight="1">
      <c r="B29" s="201" t="inlineStr">
        <is>
          <t xml:space="preserve">Godet, M., Durance, P. y Gerber, A. (2008). La prospectiva estratégica para las empresas y los territorios. Cahier LIPSOR SR-10.</t>
        </is>
      </c>
    </row>
    <row r="30" ht="22" customHeight="1">
      <c r="B30" s="178" t="inlineStr">
        <is>
          <t xml:space="preserve">Esta edición produce exactamente los mismos resultados que MICMAC Professional con los mismos datos.</t>
        </is>
      </c>
    </row>
    <row r="31" ht="34" customHeight="1">
      <c r="B31" s="199" t="inlineStr">
        <is>
          <t xml:space="preserve">Estas ocho respuestas son la referencia rápida del método: puede volver aquí desde cualquier paso sin perder su posición.</t>
        </is>
      </c>
    </row>
  </sheetData>
  <sheetProtection password="CD7E" sheet="1" formatCells="0" formatColumns="0" formatRows="0" insertRows="0"/>
  <mergeCells count="19">
    <mergeCell ref="B1:C1"/>
    <mergeCell ref="B2:C2"/>
    <mergeCell ref="B3:D3"/>
    <mergeCell ref="B4:D4"/>
    <mergeCell ref="B5:D5"/>
    <mergeCell ref="C7:D7"/>
    <mergeCell ref="C9:D9"/>
    <mergeCell ref="C11:D11"/>
    <mergeCell ref="C13:D13"/>
    <mergeCell ref="C15:D15"/>
    <mergeCell ref="C17:D17"/>
    <mergeCell ref="C19:D19"/>
    <mergeCell ref="C21:D21"/>
    <mergeCell ref="B22:D22"/>
    <mergeCell ref="B26:D26"/>
    <mergeCell ref="B28:D28"/>
    <mergeCell ref="B29:D29"/>
    <mergeCell ref="B30:D30"/>
    <mergeCell ref="B31:D31"/>
  </mergeCells>
  <hyperlinks>
    <hyperlink ref="B2" location="Inicio!A1" display="Inicio"/>
  </hyperlinks>
  <pageMargins left="0.4" right="0.4" top="0.5" bottom="0.5" header="0.3" footer="0.3"/>
  <pageSetup paperSize="9" scale="100" fitToWidth="1" fitToHeight="0" orientation="portrait"/>
  <headerFooter>
    <oddFooter>&amp;L&amp;"Aptos,Regular"&amp;8&amp;K94A0AEIntelKIT · MICMAC Essentials v1.0&amp;R&amp;"Aptos,Regular"&amp;8&amp;K94A0AEPágina &amp;P de &amp;N</oddFooter>
  </headerFooter>
</worksheet>
</file>

<file path=xl/worksheets/sheet7.xml><?xml version="1.0" encoding="utf-8"?>
<worksheet xmlns="http://schemas.openxmlformats.org/spreadsheetml/2006/main" xmlns:r="http://schemas.openxmlformats.org/officeDocument/2006/relationships">
  <sheetPr>
    <tabColor rgb="FF3A3F9E"/>
    <pageSetUpPr fitToPage="1"/>
  </sheetPr>
  <dimension ref="A1:G110"/>
  <sheetViews>
    <sheetView showGridLines="0" zoomScaleNormal="100" workbookViewId="0">
      <pane ySplit="6" topLeftCell="A7" activePane="bottomLeft" state="frozen"/>
    </sheetView>
  </sheetViews>
  <sheetFormatPr baseColWidth="10" defaultRowHeight="15"/>
  <cols>
    <col min="1" max="1" width="3" customWidth="1"/>
    <col min="2" max="2" width="16" customWidth="1"/>
    <col min="3" max="3" width="36" customWidth="1"/>
    <col min="4" max="4" width="11" customWidth="1"/>
    <col min="5" max="5" width="50" customWidth="1"/>
    <col min="6" max="6" width="22" customWidth="1"/>
    <col min="7" max="7" width="16" customWidth="1"/>
  </cols>
  <sheetData>
    <row r="1" ht="28" customHeight="1">
      <c r="A1" s="157"/>
      <c r="B1" s="157" t="inlineStr">
        <is>
          <t xml:space="preserve">MICMAC  ESSENTIALS</t>
        </is>
      </c>
      <c r="C1" s="157"/>
      <c r="D1" s="157"/>
      <c r="E1" s="157"/>
      <c r="F1" s="157"/>
      <c r="G1" s="158" t="inlineStr">
        <is>
          <t xml:space="preserve">Paso 2 de 7</t>
        </is>
      </c>
    </row>
    <row r="2" ht="24" customHeight="1">
      <c r="B2" s="161">
        <f>IF(COUNTA('01 · Encuadre'!$B$10,'01 · Encuadre'!$B$14,'01 · Encuadre'!$B$18,'01 · Encuadre'!$B$22)=4,"✓ 1 · Encuadre","1 · Encuadre")</f>
      </c>
      <c r="C2" s="160" t="inlineStr">
        <is>
          <t xml:space="preserve"> 2 · Variables </t>
        </is>
      </c>
      <c r="D2" s="162">
        <f>IF(COUNTA('03 · Criterio'!$D$9:$D$23)=8,"✓ 3 · Criterio","3 · Criterio")</f>
      </c>
      <c r="E2" s="162">
        <f>IF((SUMPRODUCT((ROW('04 · Matriz'!$C$6:$AA$30)-5&lt;=Var_N)*(COLUMN('04 · Matriz'!$C$6:$AA$30)-2&lt;=Var_N)*('04 · Matriz'!$C$6:$AA$30&lt;&gt;""))-Var_N&gt;=Ind_Preguntas),"✓ 4 · Matriz","4 · Matriz")</f>
      </c>
      <c r="F2" s="162">
        <f>IF((SUMPRODUCT((ROW('04 · Matriz'!$C$6:$AA$30)-5&lt;=Var_N)*(COLUMN('04 · Matriz'!$C$6:$AA$30)-2&lt;=Var_N)*('04 · Matriz'!$C$6:$AA$30&lt;&gt;""))-Var_N&gt;=Ind_Preguntas),"✓ 5 · Resultado","5 · Resultado")</f>
      </c>
      <c r="G2" s="162" t="inlineStr">
        <is>
          <t xml:space="preserve">◀ Inicio</t>
        </is>
      </c>
    </row>
    <row r="3" ht="38" customHeight="1">
      <c r="B3" s="163" t="inlineStr">
        <is>
          <t xml:space="preserve">Ahora, ¿qué factores describen su sistema?</t>
        </is>
      </c>
    </row>
    <row r="4" ht="24" customHeight="1">
      <c r="B4" s="195" t="inlineStr">
        <is>
          <t xml:space="preserve">Escriba entre 8 y 25. El código se asigna solo.</t>
        </is>
      </c>
    </row>
    <row r="5" ht="30" customHeight="1">
      <c r="B5" s="199" t="inlineStr">
        <is>
          <t xml:space="preserve">Por qué importa: todo lo que venga después se calcula sobre esta lista. Un factor mal definido no se detecta luego, y dos que se solapan inflan artificialmente el resultado.</t>
        </is>
      </c>
    </row>
    <row r="6" ht="20" customHeight="1">
      <c r="B6" s="193" t="inlineStr">
        <is>
          <t xml:space="preserve">CÓD</t>
        </is>
      </c>
      <c r="C6" s="193" t="inlineStr">
        <is>
          <t xml:space="preserve">FACTOR</t>
        </is>
      </c>
      <c r="D6" s="194"/>
      <c r="E6" s="193" t="inlineStr">
        <is>
          <t xml:space="preserve">QUÉ SE MIDE EXACTAMENTE</t>
        </is>
      </c>
      <c r="F6" s="193"/>
      <c r="G6" s="193"/>
    </row>
    <row r="7" ht="26" customHeight="1">
      <c r="B7" s="149">
        <f>IF($C7="","","V"&amp;TEXT(ROW()-6,"00"))</f>
      </c>
      <c r="C7" s="130" t="inlineStr">
        <is>
          <t xml:space="preserve">Presión migratoria irregular</t>
        </is>
      </c>
      <c r="D7" s="148">
        <f>IF($C7="","",IF($E7="","falta","✓"))</f>
      </c>
      <c r="E7" s="130" t="inlineStr">
        <is>
          <t xml:space="preserve">Volumen de intentos de entrada irregular por la instalación portuaria, medido por incidencias detectadas al año.</t>
        </is>
      </c>
      <c r="F7" s="147">
        <f>IF($C7="","",IF(COUNTIF($C$7:$C$31,$C7&amp;"")&gt;1,"⚠ nombre duplicado",IF(AND($C7&lt;&gt;"",COUNTIF($C$7:$C$31,LEFT($C7,12)&amp;"*")&gt;1),"⚠ muy parecido a otro",IF($E7="","⚠ falta la definición",IF(LEN($C7)&gt;60,"⚠ nombre demasiado largo",IF(LEN($E7)&lt;15,"⚠ definición demasiado corta",""))))))</f>
      </c>
      <c r="G7" s="147"/>
    </row>
    <row r="8" ht="26" customHeight="1">
      <c r="B8" s="149">
        <f>IF($C8="","","V"&amp;TEXT(ROW()-6,"00"))</f>
      </c>
      <c r="C8" s="130" t="inlineStr">
        <is>
          <t xml:space="preserve">Volumen de tráfico de contenedores</t>
        </is>
      </c>
      <c r="D8" s="148">
        <f>IF($C8="","",IF($E8="","falta","✓"))</f>
      </c>
      <c r="E8" s="130" t="inlineStr">
        <is>
          <t xml:space="preserve">TEU movidos anualmente por la terminal. Determina el universo sobre el que ha de operar el control.</t>
        </is>
      </c>
      <c r="F8" s="147">
        <f>IF($C8="","",IF(COUNTIF($C$7:$C$31,$C8&amp;"")&gt;1,"⚠ nombre duplicado",IF(AND($C8&lt;&gt;"",COUNTIF($C$7:$C$31,LEFT($C8,12)&amp;"*")&gt;1),"⚠ muy parecido a otro",IF($E8="","⚠ falta la definición",IF(LEN($C8)&gt;60,"⚠ nombre demasiado largo",IF(LEN($E8)&lt;15,"⚠ definición demasiado corta",""))))))</f>
      </c>
      <c r="G8" s="147"/>
    </row>
    <row r="9" ht="26" customHeight="1">
      <c r="B9" s="149">
        <f>IF($C9="","","V"&amp;TEXT(ROW()-6,"00"))</f>
      </c>
      <c r="C9" s="130" t="inlineStr">
        <is>
          <t xml:space="preserve">Corrupción de personal portuario</t>
        </is>
      </c>
      <c r="D9" s="148">
        <f>IF($C9="","",IF($E9="","falta","✓"))</f>
      </c>
      <c r="E9" s="130" t="inlineStr">
        <is>
          <t xml:space="preserve">Grado de captación de empleados por redes criminales, tanto en estiba como en tramitación documental.</t>
        </is>
      </c>
      <c r="F9" s="147">
        <f>IF($C9="","",IF(COUNTIF($C$7:$C$31,$C9&amp;"")&gt;1,"⚠ nombre duplicado",IF(AND($C9&lt;&gt;"",COUNTIF($C$7:$C$31,LEFT($C9,12)&amp;"*")&gt;1),"⚠ muy parecido a otro",IF($E9="","⚠ falta la definición",IF(LEN($C9)&gt;60,"⚠ nombre demasiado largo",IF(LEN($E9)&lt;15,"⚠ definición demasiado corta",""))))))</f>
      </c>
      <c r="G9" s="147"/>
    </row>
    <row r="10" ht="26" customHeight="1">
      <c r="B10" s="149">
        <f>IF($C10="","","V"&amp;TEXT(ROW()-6,"00"))</f>
      </c>
      <c r="C10" s="130" t="inlineStr">
        <is>
          <t xml:space="preserve">Digitalización de la cadena logística</t>
        </is>
      </c>
      <c r="D10" s="148">
        <f>IF($C10="","",IF($E10="","falta","✓"))</f>
      </c>
      <c r="E10" s="130" t="inlineStr">
        <is>
          <t xml:space="preserve">Grado de informatización de la trazabilidad de la carga y de los sistemas de gestión de la terminal.</t>
        </is>
      </c>
      <c r="F10" s="147">
        <f>IF($C10="","",IF(COUNTIF($C$7:$C$31,$C10&amp;"")&gt;1,"⚠ nombre duplicado",IF(AND($C10&lt;&gt;"",COUNTIF($C$7:$C$31,LEFT($C10,12)&amp;"*")&gt;1),"⚠ muy parecido a otro",IF($E10="","⚠ falta la definición",IF(LEN($C10)&gt;60,"⚠ nombre demasiado largo",IF(LEN($E10)&lt;15,"⚠ definición demasiado corta",""))))))</f>
      </c>
      <c r="G10" s="147"/>
    </row>
    <row r="11" ht="26" customHeight="1">
      <c r="B11" s="149">
        <f>IF($C11="","","V"&amp;TEXT(ROW()-6,"00"))</f>
      </c>
      <c r="C11" s="130" t="inlineStr">
        <is>
          <t xml:space="preserve">Capacidad de inspección aduanera</t>
        </is>
      </c>
      <c r="D11" s="148">
        <f>IF($C11="","",IF($E11="","falta","✓"))</f>
      </c>
      <c r="E11" s="130" t="inlineStr">
        <is>
          <t xml:space="preserve">Porcentaje de contenedores inspeccionados y medios técnicos y humanos disponibles para hacerlo.</t>
        </is>
      </c>
      <c r="F11" s="147">
        <f>IF($C11="","",IF(COUNTIF($C$7:$C$31,$C11&amp;"")&gt;1,"⚠ nombre duplicado",IF(AND($C11&lt;&gt;"",COUNTIF($C$7:$C$31,LEFT($C11,12)&amp;"*")&gt;1),"⚠ muy parecido a otro",IF($E11="","⚠ falta la definición",IF(LEN($C11)&gt;60,"⚠ nombre demasiado largo",IF(LEN($E11)&lt;15,"⚠ definición demasiado corta",""))))))</f>
      </c>
      <c r="G11" s="147"/>
    </row>
    <row r="12" ht="26" customHeight="1">
      <c r="B12" s="149">
        <f>IF($C12="","","V"&amp;TEXT(ROW()-6,"00"))</f>
      </c>
      <c r="C12" s="130" t="inlineStr">
        <is>
          <t xml:space="preserve">Presencia de organizaciones criminales</t>
        </is>
      </c>
      <c r="D12" s="148">
        <f>IF($C12="","",IF($E12="","falta","✓"))</f>
      </c>
      <c r="E12" s="130" t="inlineStr">
        <is>
          <t xml:space="preserve">Implantación estable de redes criminales en el entorno portuario y en su cadena de servicios auxiliares.</t>
        </is>
      </c>
      <c r="F12" s="147">
        <f>IF($C12="","",IF(COUNTIF($C$7:$C$31,$C12&amp;"")&gt;1,"⚠ nombre duplicado",IF(AND($C12&lt;&gt;"",COUNTIF($C$7:$C$31,LEFT($C12,12)&amp;"*")&gt;1),"⚠ muy parecido a otro",IF($E12="","⚠ falta la definición",IF(LEN($C12)&gt;60,"⚠ nombre demasiado largo",IF(LEN($E12)&lt;15,"⚠ definición demasiado corta",""))))))</f>
      </c>
      <c r="G12" s="147"/>
    </row>
    <row r="13" ht="26" customHeight="1">
      <c r="B13" s="149">
        <f>IF($C13="","","V"&amp;TEXT(ROW()-6,"00"))</f>
      </c>
      <c r="C13" s="130" t="inlineStr">
        <is>
          <t xml:space="preserve">Cooperación policial internacional</t>
        </is>
      </c>
      <c r="D13" s="148">
        <f>IF($C13="","",IF($E13="","falta","✓"))</f>
      </c>
      <c r="E13" s="130" t="inlineStr">
        <is>
          <t xml:space="preserve">Intensidad del intercambio operativo y de inteligencia con los cuerpos policiales de los puertos de origen.</t>
        </is>
      </c>
      <c r="F13" s="147">
        <f>IF($C13="","",IF(COUNTIF($C$7:$C$31,$C13&amp;"")&gt;1,"⚠ nombre duplicado",IF(AND($C13&lt;&gt;"",COUNTIF($C$7:$C$31,LEFT($C13,12)&amp;"*")&gt;1),"⚠ muy parecido a otro",IF($E13="","⚠ falta la definición",IF(LEN($C13)&gt;60,"⚠ nombre demasiado largo",IF(LEN($E13)&lt;15,"⚠ definición demasiado corta",""))))))</f>
      </c>
      <c r="G13" s="147"/>
    </row>
    <row r="14" ht="26" customHeight="1">
      <c r="B14" s="149">
        <f>IF($C14="","","V"&amp;TEXT(ROW()-6,"00"))</f>
      </c>
      <c r="C14" s="130" t="inlineStr">
        <is>
          <t xml:space="preserve">Precariedad laboral en el puerto</t>
        </is>
      </c>
      <c r="D14" s="148">
        <f>IF($C14="","",IF($E14="","falta","✓"))</f>
      </c>
      <c r="E14" s="130" t="inlineStr">
        <is>
          <t xml:space="preserve">Proporción de empleo temporal y subcontratado, y rotación del personal con acceso a zonas restringidas.</t>
        </is>
      </c>
      <c r="F14" s="147">
        <f>IF($C14="","",IF(COUNTIF($C$7:$C$31,$C14&amp;"")&gt;1,"⚠ nombre duplicado",IF(AND($C14&lt;&gt;"",COUNTIF($C$7:$C$31,LEFT($C14,12)&amp;"*")&gt;1),"⚠ muy parecido a otro",IF($E14="","⚠ falta la definición",IF(LEN($C14)&gt;60,"⚠ nombre demasiado largo",IF(LEN($E14)&lt;15,"⚠ definición demasiado corta",""))))))</f>
      </c>
      <c r="G14" s="147"/>
    </row>
    <row r="15" ht="26" customHeight="1">
      <c r="B15" s="149">
        <f>IF($C15="","","V"&amp;TEXT(ROW()-6,"00"))</f>
      </c>
      <c r="C15" s="130" t="inlineStr">
        <is>
          <t xml:space="preserve">Presión mediática y social</t>
        </is>
      </c>
      <c r="D15" s="148">
        <f>IF($C15="","",IF($E15="","falta","✓"))</f>
      </c>
      <c r="E15" s="130" t="inlineStr">
        <is>
          <t xml:space="preserve">Atención pública sostenida sobre la seguridad del puerto y exigencia social de resultados visibles.</t>
        </is>
      </c>
      <c r="F15" s="147">
        <f>IF($C15="","",IF(COUNTIF($C$7:$C$31,$C15&amp;"")&gt;1,"⚠ nombre duplicado",IF(AND($C15&lt;&gt;"",COUNTIF($C$7:$C$31,LEFT($C15,12)&amp;"*")&gt;1),"⚠ muy parecido a otro",IF($E15="","⚠ falta la definición",IF(LEN($C15)&gt;60,"⚠ nombre demasiado largo",IF(LEN($E15)&lt;15,"⚠ definición demasiado corta",""))))))</f>
      </c>
      <c r="G15" s="147"/>
    </row>
    <row r="16" ht="26" customHeight="1">
      <c r="B16" s="149">
        <f>IF($C16="","","V"&amp;TEXT(ROW()-6,"00"))</f>
      </c>
      <c r="C16" s="130" t="inlineStr">
        <is>
          <t xml:space="preserve">Marco normativo europeo</t>
        </is>
      </c>
      <c r="D16" s="148">
        <f>IF($C16="","",IF($E16="","falta","✓"))</f>
      </c>
      <c r="E16" s="130" t="inlineStr">
        <is>
          <t xml:space="preserve">Exigencias regulatorias sobre la cadena de suministro y sobre los controles obligatorios en frontera.</t>
        </is>
      </c>
      <c r="F16" s="147">
        <f>IF($C16="","",IF(COUNTIF($C$7:$C$31,$C16&amp;"")&gt;1,"⚠ nombre duplicado",IF(AND($C16&lt;&gt;"",COUNTIF($C$7:$C$31,LEFT($C16,12)&amp;"*")&gt;1),"⚠ muy parecido a otro",IF($E16="","⚠ falta la definición",IF(LEN($C16)&gt;60,"⚠ nombre demasiado largo",IF(LEN($E16)&lt;15,"⚠ definición demasiado corta",""))))))</f>
      </c>
      <c r="G16" s="147"/>
    </row>
    <row r="17" ht="26" customHeight="1">
      <c r="B17" s="149">
        <f>IF($C17="","","V"&amp;TEXT(ROW()-6,"00"))</f>
      </c>
      <c r="C17" s="130"/>
      <c r="D17" s="148">
        <f>IF($C17="","",IF($E17="","falta","✓"))</f>
      </c>
      <c r="E17" s="130"/>
      <c r="F17" s="147">
        <f>IF($C17="","",IF(COUNTIF($C$7:$C$31,$C17&amp;"")&gt;1,"⚠ nombre duplicado",IF(AND($C17&lt;&gt;"",COUNTIF($C$7:$C$31,LEFT($C17,12)&amp;"*")&gt;1),"⚠ muy parecido a otro",IF($E17="","⚠ falta la definición",IF(LEN($C17)&gt;60,"⚠ nombre demasiado largo",IF(LEN($E17)&lt;15,"⚠ definición demasiado corta",""))))))</f>
      </c>
      <c r="G17" s="147"/>
    </row>
    <row r="18" ht="26" customHeight="1">
      <c r="B18" s="149">
        <f>IF($C18="","","V"&amp;TEXT(ROW()-6,"00"))</f>
      </c>
      <c r="C18" s="130"/>
      <c r="D18" s="148">
        <f>IF($C18="","",IF($E18="","falta","✓"))</f>
      </c>
      <c r="E18" s="130"/>
      <c r="F18" s="147">
        <f>IF($C18="","",IF(COUNTIF($C$7:$C$31,$C18&amp;"")&gt;1,"⚠ nombre duplicado",IF(AND($C18&lt;&gt;"",COUNTIF($C$7:$C$31,LEFT($C18,12)&amp;"*")&gt;1),"⚠ muy parecido a otro",IF($E18="","⚠ falta la definición",IF(LEN($C18)&gt;60,"⚠ nombre demasiado largo",IF(LEN($E18)&lt;15,"⚠ definición demasiado corta",""))))))</f>
      </c>
      <c r="G18" s="147"/>
    </row>
    <row r="19" ht="26" customHeight="1">
      <c r="B19" s="149">
        <f>IF($C19="","","V"&amp;TEXT(ROW()-6,"00"))</f>
      </c>
      <c r="C19" s="130"/>
      <c r="D19" s="148">
        <f>IF($C19="","",IF($E19="","falta","✓"))</f>
      </c>
      <c r="E19" s="130"/>
      <c r="F19" s="147">
        <f>IF($C19="","",IF(COUNTIF($C$7:$C$31,$C19&amp;"")&gt;1,"⚠ nombre duplicado",IF(AND($C19&lt;&gt;"",COUNTIF($C$7:$C$31,LEFT($C19,12)&amp;"*")&gt;1),"⚠ muy parecido a otro",IF($E19="","⚠ falta la definición",IF(LEN($C19)&gt;60,"⚠ nombre demasiado largo",IF(LEN($E19)&lt;15,"⚠ definición demasiado corta",""))))))</f>
      </c>
      <c r="G19" s="147"/>
    </row>
    <row r="20" ht="26" customHeight="1">
      <c r="B20" s="149">
        <f>IF($C20="","","V"&amp;TEXT(ROW()-6,"00"))</f>
      </c>
      <c r="C20" s="130"/>
      <c r="D20" s="148">
        <f>IF($C20="","",IF($E20="","falta","✓"))</f>
      </c>
      <c r="E20" s="130"/>
      <c r="F20" s="147">
        <f>IF($C20="","",IF(COUNTIF($C$7:$C$31,$C20&amp;"")&gt;1,"⚠ nombre duplicado",IF(AND($C20&lt;&gt;"",COUNTIF($C$7:$C$31,LEFT($C20,12)&amp;"*")&gt;1),"⚠ muy parecido a otro",IF($E20="","⚠ falta la definición",IF(LEN($C20)&gt;60,"⚠ nombre demasiado largo",IF(LEN($E20)&lt;15,"⚠ definición demasiado corta",""))))))</f>
      </c>
      <c r="G20" s="147"/>
    </row>
    <row r="21" ht="26" customHeight="1">
      <c r="B21" s="149">
        <f>IF($C21="","","V"&amp;TEXT(ROW()-6,"00"))</f>
      </c>
      <c r="C21" s="130"/>
      <c r="D21" s="148">
        <f>IF($C21="","",IF($E21="","falta","✓"))</f>
      </c>
      <c r="E21" s="130"/>
      <c r="F21" s="147">
        <f>IF($C21="","",IF(COUNTIF($C$7:$C$31,$C21&amp;"")&gt;1,"⚠ nombre duplicado",IF(AND($C21&lt;&gt;"",COUNTIF($C$7:$C$31,LEFT($C21,12)&amp;"*")&gt;1),"⚠ muy parecido a otro",IF($E21="","⚠ falta la definición",IF(LEN($C21)&gt;60,"⚠ nombre demasiado largo",IF(LEN($E21)&lt;15,"⚠ definición demasiado corta",""))))))</f>
      </c>
      <c r="G21" s="147"/>
    </row>
    <row r="22" ht="26" customHeight="1">
      <c r="B22" s="149">
        <f>IF($C22="","","V"&amp;TEXT(ROW()-6,"00"))</f>
      </c>
      <c r="C22" s="130"/>
      <c r="D22" s="148">
        <f>IF($C22="","",IF($E22="","falta","✓"))</f>
      </c>
      <c r="E22" s="130"/>
      <c r="F22" s="147">
        <f>IF($C22="","",IF(COUNTIF($C$7:$C$31,$C22&amp;"")&gt;1,"⚠ nombre duplicado",IF(AND($C22&lt;&gt;"",COUNTIF($C$7:$C$31,LEFT($C22,12)&amp;"*")&gt;1),"⚠ muy parecido a otro",IF($E22="","⚠ falta la definición",IF(LEN($C22)&gt;60,"⚠ nombre demasiado largo",IF(LEN($E22)&lt;15,"⚠ definición demasiado corta",""))))))</f>
      </c>
      <c r="G22" s="147"/>
    </row>
    <row r="23" ht="26" customHeight="1">
      <c r="B23" s="149">
        <f>IF($C23="","","V"&amp;TEXT(ROW()-6,"00"))</f>
      </c>
      <c r="C23" s="130"/>
      <c r="D23" s="148">
        <f>IF($C23="","",IF($E23="","falta","✓"))</f>
      </c>
      <c r="E23" s="130"/>
      <c r="F23" s="147">
        <f>IF($C23="","",IF(COUNTIF($C$7:$C$31,$C23&amp;"")&gt;1,"⚠ nombre duplicado",IF(AND($C23&lt;&gt;"",COUNTIF($C$7:$C$31,LEFT($C23,12)&amp;"*")&gt;1),"⚠ muy parecido a otro",IF($E23="","⚠ falta la definición",IF(LEN($C23)&gt;60,"⚠ nombre demasiado largo",IF(LEN($E23)&lt;15,"⚠ definición demasiado corta",""))))))</f>
      </c>
      <c r="G23" s="147"/>
    </row>
    <row r="24" ht="26" customHeight="1">
      <c r="B24" s="149">
        <f>IF($C24="","","V"&amp;TEXT(ROW()-6,"00"))</f>
      </c>
      <c r="C24" s="130"/>
      <c r="D24" s="148">
        <f>IF($C24="","",IF($E24="","falta","✓"))</f>
      </c>
      <c r="E24" s="130"/>
      <c r="F24" s="147">
        <f>IF($C24="","",IF(COUNTIF($C$7:$C$31,$C24&amp;"")&gt;1,"⚠ nombre duplicado",IF(AND($C24&lt;&gt;"",COUNTIF($C$7:$C$31,LEFT($C24,12)&amp;"*")&gt;1),"⚠ muy parecido a otro",IF($E24="","⚠ falta la definición",IF(LEN($C24)&gt;60,"⚠ nombre demasiado largo",IF(LEN($E24)&lt;15,"⚠ definición demasiado corta",""))))))</f>
      </c>
      <c r="G24" s="147"/>
    </row>
    <row r="25" ht="26" customHeight="1">
      <c r="B25" s="149">
        <f>IF($C25="","","V"&amp;TEXT(ROW()-6,"00"))</f>
      </c>
      <c r="C25" s="130"/>
      <c r="D25" s="148">
        <f>IF($C25="","",IF($E25="","falta","✓"))</f>
      </c>
      <c r="E25" s="130"/>
      <c r="F25" s="147">
        <f>IF($C25="","",IF(COUNTIF($C$7:$C$31,$C25&amp;"")&gt;1,"⚠ nombre duplicado",IF(AND($C25&lt;&gt;"",COUNTIF($C$7:$C$31,LEFT($C25,12)&amp;"*")&gt;1),"⚠ muy parecido a otro",IF($E25="","⚠ falta la definición",IF(LEN($C25)&gt;60,"⚠ nombre demasiado largo",IF(LEN($E25)&lt;15,"⚠ definición demasiado corta",""))))))</f>
      </c>
      <c r="G25" s="147"/>
    </row>
    <row r="26" ht="26" customHeight="1">
      <c r="B26" s="149">
        <f>IF($C26="","","V"&amp;TEXT(ROW()-6,"00"))</f>
      </c>
      <c r="C26" s="130"/>
      <c r="D26" s="148">
        <f>IF($C26="","",IF($E26="","falta","✓"))</f>
      </c>
      <c r="E26" s="130"/>
      <c r="F26" s="147">
        <f>IF($C26="","",IF(COUNTIF($C$7:$C$31,$C26&amp;"")&gt;1,"⚠ nombre duplicado",IF(AND($C26&lt;&gt;"",COUNTIF($C$7:$C$31,LEFT($C26,12)&amp;"*")&gt;1),"⚠ muy parecido a otro",IF($E26="","⚠ falta la definición",IF(LEN($C26)&gt;60,"⚠ nombre demasiado largo",IF(LEN($E26)&lt;15,"⚠ definición demasiado corta",""))))))</f>
      </c>
      <c r="G26" s="147"/>
    </row>
    <row r="27" ht="26" customHeight="1">
      <c r="B27" s="149">
        <f>IF($C27="","","V"&amp;TEXT(ROW()-6,"00"))</f>
      </c>
      <c r="C27" s="130"/>
      <c r="D27" s="148">
        <f>IF($C27="","",IF($E27="","falta","✓"))</f>
      </c>
      <c r="E27" s="130"/>
      <c r="F27" s="147">
        <f>IF($C27="","",IF(COUNTIF($C$7:$C$31,$C27&amp;"")&gt;1,"⚠ nombre duplicado",IF(AND($C27&lt;&gt;"",COUNTIF($C$7:$C$31,LEFT($C27,12)&amp;"*")&gt;1),"⚠ muy parecido a otro",IF($E27="","⚠ falta la definición",IF(LEN($C27)&gt;60,"⚠ nombre demasiado largo",IF(LEN($E27)&lt;15,"⚠ definición demasiado corta",""))))))</f>
      </c>
      <c r="G27" s="147"/>
    </row>
    <row r="28" ht="26" customHeight="1">
      <c r="B28" s="149">
        <f>IF($C28="","","V"&amp;TEXT(ROW()-6,"00"))</f>
      </c>
      <c r="C28" s="130"/>
      <c r="D28" s="148">
        <f>IF($C28="","",IF($E28="","falta","✓"))</f>
      </c>
      <c r="E28" s="130"/>
      <c r="F28" s="147">
        <f>IF($C28="","",IF(COUNTIF($C$7:$C$31,$C28&amp;"")&gt;1,"⚠ nombre duplicado",IF(AND($C28&lt;&gt;"",COUNTIF($C$7:$C$31,LEFT($C28,12)&amp;"*")&gt;1),"⚠ muy parecido a otro",IF($E28="","⚠ falta la definición",IF(LEN($C28)&gt;60,"⚠ nombre demasiado largo",IF(LEN($E28)&lt;15,"⚠ definición demasiado corta",""))))))</f>
      </c>
      <c r="G28" s="147"/>
    </row>
    <row r="29" ht="26" customHeight="1">
      <c r="B29" s="149">
        <f>IF($C29="","","V"&amp;TEXT(ROW()-6,"00"))</f>
      </c>
      <c r="C29" s="130"/>
      <c r="D29" s="148">
        <f>IF($C29="","",IF($E29="","falta","✓"))</f>
      </c>
      <c r="E29" s="130"/>
      <c r="F29" s="147">
        <f>IF($C29="","",IF(COUNTIF($C$7:$C$31,$C29&amp;"")&gt;1,"⚠ nombre duplicado",IF(AND($C29&lt;&gt;"",COUNTIF($C$7:$C$31,LEFT($C29,12)&amp;"*")&gt;1),"⚠ muy parecido a otro",IF($E29="","⚠ falta la definición",IF(LEN($C29)&gt;60,"⚠ nombre demasiado largo",IF(LEN($E29)&lt;15,"⚠ definición demasiado corta",""))))))</f>
      </c>
      <c r="G29" s="147"/>
    </row>
    <row r="30" ht="26" customHeight="1">
      <c r="B30" s="149">
        <f>IF($C30="","","V"&amp;TEXT(ROW()-6,"00"))</f>
      </c>
      <c r="C30" s="130"/>
      <c r="D30" s="148">
        <f>IF($C30="","",IF($E30="","falta","✓"))</f>
      </c>
      <c r="E30" s="130"/>
      <c r="F30" s="147">
        <f>IF($C30="","",IF(COUNTIF($C$7:$C$31,$C30&amp;"")&gt;1,"⚠ nombre duplicado",IF(AND($C30&lt;&gt;"",COUNTIF($C$7:$C$31,LEFT($C30,12)&amp;"*")&gt;1),"⚠ muy parecido a otro",IF($E30="","⚠ falta la definición",IF(LEN($C30)&gt;60,"⚠ nombre demasiado largo",IF(LEN($E30)&lt;15,"⚠ definición demasiado corta",""))))))</f>
      </c>
      <c r="G30" s="147"/>
    </row>
    <row r="31" ht="26" customHeight="1">
      <c r="B31" s="149">
        <f>IF($C31="","","V"&amp;TEXT(ROW()-6,"00"))</f>
      </c>
      <c r="C31" s="130"/>
      <c r="D31" s="148">
        <f>IF($C31="","",IF($E31="","falta","✓"))</f>
      </c>
      <c r="E31" s="130"/>
      <c r="F31" s="147">
        <f>IF($C31="","",IF(COUNTIF($C$7:$C$31,$C31&amp;"")&gt;1,"⚠ nombre duplicado",IF(AND($C31&lt;&gt;"",COUNTIF($C$7:$C$31,LEFT($C31,12)&amp;"*")&gt;1),"⚠ muy parecido a otro",IF($E31="","⚠ falta la definición",IF(LEN($C31)&gt;60,"⚠ nombre demasiado largo",IF(LEN($E31)&lt;15,"⚠ definición demasiado corta",""))))))</f>
      </c>
      <c r="G31" s="147"/>
    </row>
    <row r="32"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t="22" customHeight="1">
      <c r="B88" s="192" t="inlineStr">
        <is>
          <t xml:space="preserve">LO QUE LE VA A COSTAR ESTE ESTUDIO</t>
        </is>
      </c>
    </row>
    <row r="89" ht="42" customHeight="1">
      <c r="B89" s="189">
        <f>COUNTA('02 · Variables'!$C$7:$C$31)</f>
      </c>
      <c r="D89" s="189">
        <f>COUNTA('02 · Variables'!$C$7:$C$31)*(COUNTA('02 · Variables'!$C$7:$C$31)-1)</f>
      </c>
      <c r="F89" s="189">
        <f>ROUND(COUNTA('02 · Variables'!$C$7:$C$31)*(COUNTA('02 · Variables'!$C$7:$C$31)-1)*12/60,0)</f>
      </c>
    </row>
    <row r="90" ht="20" customHeight="1">
      <c r="B90" s="192" t="inlineStr">
        <is>
          <t xml:space="preserve">factores</t>
        </is>
      </c>
      <c r="D90" s="192" t="inlineStr">
        <is>
          <t xml:space="preserve">valoraciones que hará</t>
        </is>
      </c>
      <c r="F90" s="192" t="inlineStr">
        <is>
          <t xml:space="preserve">minutos aproximados</t>
        </is>
      </c>
    </row>
    <row r="92" ht="22" customHeight="1">
      <c r="B92" s="146">
        <f>IF(COUNTA('02 · Variables'!$C$7:$C$31)=0,"● Empiece por el factor más evidente",IF(COUNTA('02 · Variables'!$C$7:$C$31)&lt;8,"● Con menos de 8 factores el análisis no discrimina",IF(COUNTA('02 · Variables'!$C$7:$C$31)&lt;12,"● Válido, aunque por debajo del rango recomendado",IF(COUNTA('02 · Variables'!$C$7:$C$31)&gt;20,"● Por encima de 20 factores el estudio ocupa dos sesiones","● Está en el rango recomendado de 12 a 20"))))</f>
      </c>
      <c r="C92" s="145"/>
      <c r="D92" s="145"/>
      <c r="E92" s="145"/>
      <c r="F92" s="145"/>
      <c r="G92" s="145"/>
    </row>
    <row r="93" ht="24" customHeight="1">
      <c r="B93" s="145">
        <f>IF(COUNTA('02 · Variables'!$C$7:$C$31)&gt;=25,"Ha alcanzado el límite de esta edición. Un estudio mayor pertenece a MICMAC Professional.","El trabajo crece con el cuadrado del número de factores: duplicar la lista lo cuadruplica.")</f>
      </c>
      <c r="C93" s="145"/>
      <c r="D93" s="145"/>
      <c r="E93" s="145"/>
      <c r="F93" s="145"/>
      <c r="G93" s="145"/>
    </row>
    <row r="95" ht="20" customHeight="1">
      <c r="B95" s="192" t="inlineStr">
        <is>
          <t xml:space="preserve">REQUISITOS DE ESTE PASO</t>
        </is>
      </c>
      <c r="C95" s="204"/>
      <c r="D95" s="204"/>
      <c r="E95" s="204"/>
      <c r="F95" s="204"/>
      <c r="G95" s="204"/>
    </row>
    <row r="96" ht="34" customHeight="1">
      <c r="B96" s="200" t="inlineStr">
        <is>
          <t xml:space="preserve">Al menos 8 factores</t>
        </is>
      </c>
      <c r="C96" s="205">
        <f>IF(COUNTA('02 · Variables'!$C$7:$C$31)&gt;=8,"✓","")</f>
      </c>
      <c r="D96" s="203">
        <f>IF(COUNTA('02 · Variables'!$C$7:$C$31)&gt;=8,"","Lleva "&amp;COUNTA('02 · Variables'!$C$7:$C$31)&amp;" de 8")</f>
      </c>
      <c r="F96" s="192" t="inlineStr">
        <is>
          <t xml:space="preserve">LE QUEDA</t>
        </is>
      </c>
    </row>
    <row r="97" ht="34" customHeight="1">
      <c r="B97" s="200" t="inlineStr">
        <is>
          <t xml:space="preserve">Como máximo 25</t>
        </is>
      </c>
      <c r="C97" s="205">
        <f>IF(COUNTA('02 · Variables'!$C$7:$C$31)&lt;=25,"✓","")</f>
      </c>
      <c r="D97" s="203">
        <f>IF(COUNTA('02 · Variables'!$C$7:$C$31)&lt;=25,"","Lleva "&amp;COUNTA('02 · Variables'!$C$7:$C$31)&amp;" de 25")</f>
      </c>
      <c r="F97" s="201">
        <f>"Cinco pasos. La matriz es el más largo."</f>
      </c>
    </row>
    <row r="98" ht="34" customHeight="1">
      <c r="B98" s="200" t="inlineStr">
        <is>
          <t xml:space="preserve">Sin nombres duplicados</t>
        </is>
      </c>
      <c r="C98" s="205">
        <f>IF(SUMPRODUCT(('02 · Variables'!$C$7:$C$31&lt;&gt;"")*(COUNTIF('02 · Variables'!$C$7:$C$31,'02 · Variables'!$C$7:$C$31&amp;"")&gt;1))=0,"✓","")</f>
      </c>
      <c r="D98" s="203">
        <f>IF(SUMPRODUCT(('02 · Variables'!$C$7:$C$31&lt;&gt;"")*(COUNTIF('02 · Variables'!$C$7:$C$31,'02 · Variables'!$C$7:$C$31&amp;"")&gt;1))=0,"",SUMPRODUCT(('02 · Variables'!$C$7:$C$31&lt;&gt;"")*(COUNTIF('02 · Variables'!$C$7:$C$31,'02 · Variables'!$C$7:$C$31&amp;"")&gt;1))&amp;" duplicados")</f>
      </c>
    </row>
    <row r="99" ht="34" customHeight="1">
      <c r="B99" s="200" t="inlineStr">
        <is>
          <t xml:space="preserve">Sin nombres casi idénticos</t>
        </is>
      </c>
      <c r="C99" s="205">
        <f>IF(SUMPRODUCT(('02 · Variables'!$C$7:$C$31&lt;&gt;"")*(COUNTIF('02 · Variables'!$C$7:$C$31,LEFT('02 · Variables'!$C$7:$C$31,12)&amp;"*")&gt;1))-SUMPRODUCT(('02 · Variables'!$C$7:$C$31&lt;&gt;"")*(COUNTIF('02 · Variables'!$C$7:$C$31,'02 · Variables'!$C$7:$C$31&amp;"")&gt;1))=0,"✓","")</f>
      </c>
      <c r="D99" s="203">
        <f>IF(SUMPRODUCT(('02 · Variables'!$C$7:$C$31&lt;&gt;"")*(COUNTIF('02 · Variables'!$C$7:$C$31,LEFT('02 · Variables'!$C$7:$C$31,12)&amp;"*")&gt;1))-SUMPRODUCT(('02 · Variables'!$C$7:$C$31&lt;&gt;"")*(COUNTIF('02 · Variables'!$C$7:$C$31,'02 · Variables'!$C$7:$C$31&amp;"")&gt;1))=0,"",SUMPRODUCT(('02 · Variables'!$C$7:$C$31&lt;&gt;"")*(COUNTIF('02 · Variables'!$C$7:$C$31,LEFT('02 · Variables'!$C$7:$C$31,12)&amp;"*")&gt;1))-SUMPRODUCT(('02 · Variables'!$C$7:$C$31&lt;&gt;"")*(COUNTIF('02 · Variables'!$C$7:$C$31,'02 · Variables'!$C$7:$C$31&amp;"")&gt;1))&amp;" muy parecidos")</f>
      </c>
    </row>
    <row r="100" ht="34" customHeight="1">
      <c r="B100" s="200" t="inlineStr">
        <is>
          <t xml:space="preserve">Todos con definición</t>
        </is>
      </c>
      <c r="C100" s="205">
        <f>IF(COUNTA('02 · Variables'!$E$7:$E$31)&gt;=COUNTA('02 · Variables'!$C$7:$C$31),"✓","")</f>
      </c>
      <c r="D100" s="203">
        <f>IF(COUNTA('02 · Variables'!$E$7:$E$31)&gt;=COUNTA('02 · Variables'!$C$7:$C$31),"",(COUNTA('02 · Variables'!$C$7:$C$31)-COUNTA('02 · Variables'!$E$7:$E$31))&amp;" sin definición")</f>
      </c>
    </row>
    <row r="101" ht="24" customHeight="1">
      <c r="B101" s="142">
        <f>IF(COUNTA('02 · Variables'!$C$7:$C$31)=0,"● Empiece por el primer factor",IF(AND(COUNTA('02 · Variables'!$C$7:$C$31)&gt;=8,COUNTA('02 · Variables'!$C$7:$C$31)&lt;=25,SUMPRODUCT(('02 · Variables'!$C$7:$C$31&lt;&gt;"")*(COUNTIF('02 · Variables'!$C$7:$C$31,'02 · Variables'!$C$7:$C$31&amp;"")&gt;1))=0,SUMPRODUCT(('02 · Variables'!$C$7:$C$31&lt;&gt;"")*(COUNTIF('02 · Variables'!$C$7:$C$31,LEFT('02 · Variables'!$C$7:$C$31,12)&amp;"*")&gt;1))-SUMPRODUCT(('02 · Variables'!$C$7:$C$31&lt;&gt;"")*(COUNTIF('02 · Variables'!$C$7:$C$31,'02 · Variables'!$C$7:$C$31&amp;"")&gt;1))=0,COUNTA('02 · Variables'!$E$7:$E$31)&gt;=COUNTA('02 · Variables'!$C$7:$C$31)),"● Todo en orden. Puede continuar al paso 3","● Revise lo marcado antes de continuar: el análisis se calcula sobre esta lista"))</f>
      </c>
      <c r="C101" s="141"/>
      <c r="D101" s="141"/>
      <c r="E101" s="141"/>
      <c r="F101" s="141"/>
      <c r="G101" s="141"/>
    </row>
    <row r="103" ht="10" customHeight="1">
      <c r="B103" s="204"/>
      <c r="C103" s="204"/>
      <c r="D103" s="204"/>
      <c r="E103" s="204"/>
      <c r="F103" s="204"/>
      <c r="G103" s="204"/>
    </row>
    <row r="104" ht="18" customHeight="1">
      <c r="B104" s="192" t="inlineStr">
        <is>
          <t xml:space="preserve">YA ESTÁ HECHO</t>
        </is>
      </c>
      <c r="D104" s="192" t="inlineStr">
        <is>
          <t xml:space="preserve">AHORA TOCA</t>
        </is>
      </c>
      <c r="F104" s="192" t="inlineStr">
        <is>
          <t xml:space="preserve">LE QUEDA</t>
        </is>
      </c>
    </row>
    <row r="105" ht="40" customHeight="1">
      <c r="B105" s="201">
        <f>COUNTA('02 · Variables'!$C$7:$C$31)&amp;" factores definidos, "&amp;COUNTA('02 · Variables'!$E$7:$E$31)&amp;" con definición."</f>
      </c>
      <c r="D105" s="201">
        <f>"Acordar con el panel qué significa cada valor de la escala."</f>
      </c>
      <c r="F105" s="201">
        <f>"Cinco pasos. La matriz es el más largo."</f>
      </c>
    </row>
    <row r="107" ht="32" customHeight="1">
      <c r="B107" s="175" t="inlineStr">
        <is>
          <t xml:space="preserve">CONTINUAR AL PASO 3   ▶</t>
        </is>
      </c>
      <c r="C107" s="175"/>
      <c r="D107" s="175"/>
    </row>
    <row r="108" ht="18" customHeight="1">
      <c r="B108" s="192" t="inlineStr">
        <is>
          <t xml:space="preserve">QUÉ ES UN FACTOR</t>
        </is>
      </c>
    </row>
    <row r="109" ht="34" customHeight="1">
      <c r="B109" s="199" t="inlineStr">
        <is>
          <t xml:space="preserve">Un elemento del sistema que puede variar. Aquí son las diez piezas que describen el puerto: cada una con un nombre corto y una definición de qué se mide exactamente.</t>
        </is>
      </c>
    </row>
    <row r="110" ht="34" customHeight="1">
      <c r="B110" s="199" t="inlineStr">
        <is>
          <t xml:space="preserve">Todo el análisis se calcula sobre esta lista. Un factor mal definido no se detecta más tarde, y dos que se solapan inflan artificialmente el resultado.</t>
        </is>
      </c>
    </row>
  </sheetData>
  <sheetProtection password="CD7E" sheet="1" formatCells="0" formatColumns="0" formatRows="0" insertRows="0"/>
  <mergeCells count="29">
    <mergeCell ref="B1:C1"/>
    <mergeCell ref="B3:F3"/>
    <mergeCell ref="B4:G4"/>
    <mergeCell ref="B5:G5"/>
    <mergeCell ref="B88:G88"/>
    <mergeCell ref="B89:C89"/>
    <mergeCell ref="D89:E89"/>
    <mergeCell ref="F89:G89"/>
    <mergeCell ref="B90:C90"/>
    <mergeCell ref="D90:E90"/>
    <mergeCell ref="F90:G90"/>
    <mergeCell ref="B92:G92"/>
    <mergeCell ref="B93:G93"/>
    <mergeCell ref="B95:G95"/>
    <mergeCell ref="D96:G96"/>
    <mergeCell ref="D97:G97"/>
    <mergeCell ref="D98:G98"/>
    <mergeCell ref="D99:G99"/>
    <mergeCell ref="D100:G100"/>
    <mergeCell ref="B101:G101"/>
    <mergeCell ref="B104:C104"/>
    <mergeCell ref="B105:C105"/>
    <mergeCell ref="D104:E104"/>
    <mergeCell ref="D105:E105"/>
    <mergeCell ref="F104:G104"/>
    <mergeCell ref="F105:G105"/>
    <mergeCell ref="B107:D107"/>
    <mergeCell ref="B109:G109"/>
    <mergeCell ref="B110:G110"/>
  </mergeCells>
  <dataValidations count="2">
    <dataValidation type="textLength" operator="between" allowBlank="1" showInputMessage="1" showErrorMessage="1" promptTitle="Nombre corto y único" prompt="Máximo seis palabras. Debe distinguirse de las demás sin leer la definición. Ejemplo: «Corrupción de personal portuario»." errorTitle="Valor no admitido" error="Máximo seis palabras. Debe distinguirse de las demás sin leer la definición. Ejemplo: «Corrupción de personal portuario»." sqref="C7:C31">
      <formula1>1</formula1>
      <formula2>60</formula2>
    </dataValidation>
    <dataValidation type="textLength" operator="between" allowBlank="1" showInputMessage="1" showErrorMessage="1" promptTitle="Qué se mide exactamente" prompt="Sin definición, dos miembros del panel valorarán cosas distintas. Ejemplo: «Porcentaje de contenedores inspeccionados y medios técnicos disponibles»." errorTitle="Valor no admitido" error="Sin definición, dos miembros del panel valorarán cosas distintas. Ejemplo: «Porcentaje de contenedores inspeccionados y medios técnicos disponibles»." sqref="E7:E31">
      <formula1>1</formula1>
      <formula2>400</formula2>
    </dataValidation>
  </dataValidations>
  <hyperlinks>
    <hyperlink ref="B2" location="'01 · Encuadre'!A1" display="Encuadre"/>
    <hyperlink ref="C2" location="'02 · Variables'!A1" display="Variables"/>
    <hyperlink ref="D2" location="'03 · Criterio'!A1" display="Criterio"/>
    <hyperlink ref="E2" location="'04 · Matriz'!A1" display="Matriz"/>
    <hyperlink ref="F2" location="'05 · Resultado'!A1" display="Resultado"/>
    <hyperlink ref="G2" location="'Comprobación'!A1" display="Revisión"/>
    <hyperlink ref="G2" location="'06 · Informe'!A1" display="Informe"/>
    <hyperlink ref="G2" location="Inicio!A1" display="Inicio"/>
    <hyperlink ref="B107" location="'03 · Criterio'!A1" display="CONTINUAR AL PASO 3   ▶"/>
  </hyperlinks>
  <pageMargins left="0.4" right="0.4" top="0.5" bottom="0.5" header="0.3" footer="0.3"/>
  <pageSetup paperSize="9" scale="100" fitToWidth="1" fitToHeight="0" orientation="portrait"/>
  <headerFooter>
    <oddFooter>&amp;L&amp;"Aptos,Regular"&amp;8&amp;K94A0AEIntelKIT · MICMAC Essentials v1.0&amp;R&amp;"Aptos,Regular"&amp;8&amp;K94A0AEPágina &amp;P de &amp;N</oddFooter>
  </headerFooter>
</worksheet>
</file>

<file path=xl/worksheets/sheet8.xml><?xml version="1.0" encoding="utf-8"?>
<worksheet xmlns="http://schemas.openxmlformats.org/spreadsheetml/2006/main" xmlns:r="http://schemas.openxmlformats.org/officeDocument/2006/relationships">
  <sheetPr>
    <tabColor rgb="FF3A3F9E"/>
    <pageSetUpPr fitToPage="1"/>
  </sheetPr>
  <dimension ref="A1:CG97"/>
  <sheetViews>
    <sheetView showGridLines="0" zoomScaleNormal="100" workbookViewId="0">
      <pane ySplit="5" topLeftCell="A6" activePane="bottomLeft" state="frozen"/>
    </sheetView>
  </sheetViews>
  <sheetFormatPr baseColWidth="10" defaultRowHeight="15"/>
  <cols>
    <col min="1" max="1" width="3" customWidth="1"/>
    <col min="2" max="2" width="32" customWidth="1"/>
    <col min="3" max="3" width="4.6" customWidth="1"/>
    <col min="4" max="4" width="4.6" customWidth="1"/>
    <col min="5" max="5" width="4.6" customWidth="1"/>
    <col min="6" max="6" width="4.6" customWidth="1"/>
    <col min="7" max="7" width="4.6" customWidth="1"/>
    <col min="8" max="8" width="4.6" customWidth="1"/>
    <col min="9" max="9" width="4.6" customWidth="1"/>
    <col min="10" max="10" width="4.6" customWidth="1"/>
    <col min="11" max="11" width="4.6" customWidth="1"/>
    <col min="12" max="12" width="4.6" customWidth="1"/>
    <col min="13" max="13" width="4.6" customWidth="1"/>
    <col min="14" max="14" width="4.6" customWidth="1"/>
    <col min="15" max="15" width="4.6" customWidth="1"/>
    <col min="16" max="16" width="4.6" customWidth="1"/>
    <col min="17" max="17" width="4.6" customWidth="1"/>
    <col min="18" max="18" width="4.6" customWidth="1"/>
    <col min="19" max="19" width="4.6" customWidth="1"/>
    <col min="20" max="20" width="4.6" customWidth="1"/>
    <col min="21" max="21" width="4.6" customWidth="1"/>
    <col min="22" max="22" width="4.6" customWidth="1"/>
    <col min="23" max="23" width="4.6" customWidth="1"/>
    <col min="24" max="24" width="4.6" customWidth="1"/>
    <col min="25" max="25" width="4.6" customWidth="1"/>
    <col min="26" max="26" width="4.6" customWidth="1"/>
    <col min="27" max="27" width="4.6" customWidth="1"/>
    <col min="83" max="83" width="3" customWidth="1"/>
    <col min="84" max="84" width="34" customWidth="1"/>
    <col min="85" max="85" width="13" customWidth="1"/>
    <col min="28" max="82" width="4.6" customWidth="1" hidden="1"/>
  </cols>
  <sheetData>
    <row r="1" ht="26" customHeight="1">
      <c r="A1" s="157"/>
      <c r="B1" s="157" t="inlineStr">
        <is>
          <t xml:space="preserve">MICMAC  ESSENTIALS</t>
        </is>
      </c>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c r="AN1" s="157"/>
      <c r="AO1" s="157"/>
      <c r="AP1" s="157"/>
      <c r="AQ1" s="157"/>
      <c r="AR1" s="157"/>
      <c r="AS1" s="157"/>
      <c r="AT1" s="157"/>
      <c r="AU1" s="157"/>
      <c r="AV1" s="157"/>
      <c r="AW1" s="157"/>
      <c r="AX1" s="157"/>
      <c r="AY1" s="157"/>
      <c r="AZ1" s="157"/>
      <c r="BA1" s="157"/>
      <c r="BB1" s="157"/>
      <c r="BC1" s="157"/>
      <c r="BD1" s="157"/>
      <c r="BE1" s="157"/>
      <c r="BF1" s="157"/>
      <c r="BG1" s="157"/>
      <c r="BH1" s="157"/>
      <c r="BI1" s="157"/>
      <c r="BJ1" s="157"/>
      <c r="BK1" s="157"/>
      <c r="BL1" s="157"/>
      <c r="BM1" s="157"/>
      <c r="BN1" s="157"/>
      <c r="BO1" s="157"/>
      <c r="BP1" s="157"/>
      <c r="BQ1" s="157"/>
      <c r="BR1" s="157"/>
      <c r="BS1" s="157"/>
      <c r="BT1" s="157"/>
      <c r="BU1" s="157"/>
      <c r="BV1" s="157"/>
      <c r="BW1" s="157"/>
      <c r="BX1" s="157"/>
      <c r="BY1" s="157"/>
      <c r="BZ1" s="157"/>
      <c r="CA1" s="157"/>
      <c r="CB1" s="157"/>
      <c r="CC1" s="157"/>
      <c r="CD1" s="157"/>
      <c r="CE1" s="157"/>
      <c r="CF1" s="157"/>
      <c r="CG1" s="158" t="inlineStr">
        <is>
          <t xml:space="preserve">Paso 4 de 7</t>
        </is>
      </c>
    </row>
    <row r="2" ht="22" customHeight="1">
      <c r="B2" s="161">
        <f>IF(COUNTA('01 · Encuadre'!$B$10,'01 · Encuadre'!$B$14,'01 · Encuadre'!$B$18,'01 · Encuadre'!$B$22)=4,"✓ 1 · Encuadre","1 · Encuadre")</f>
      </c>
      <c r="E2" s="161">
        <f>IF(COUNTA('02 · Variables'!$C$7:$C$31)&gt;=8,"✓ 2 · Variables","2 · Variables")</f>
      </c>
      <c r="H2" s="161">
        <f>IF(COUNTA('03 · Criterio'!$D$9:$D$23)=8,"✓ 3 · Criterio","3 · Criterio")</f>
      </c>
      <c r="K2" s="160" t="inlineStr">
        <is>
          <t xml:space="preserve"> 4 · Matriz </t>
        </is>
      </c>
      <c r="N2" s="162">
        <f>IF((SUMPRODUCT((ROW('04 · Matriz'!$C$6:$AA$30)-5&lt;=Var_N)*(COLUMN('04 · Matriz'!$C$6:$AA$30)-2&lt;=Var_N)*('04 · Matriz'!$C$6:$AA$30&lt;&gt;""))-Var_N&gt;=Ind_Preguntas),"✓ 5 · Resultado","5 · Resultado")</f>
      </c>
      <c r="Q2" s="162">
        <f>IF((SUMPRODUCT((ROW('04 · Matriz'!$C$6:$AA$30)-5&lt;=Var_N)*(COLUMN('04 · Matriz'!$C$6:$AA$30)-2&lt;=Var_N)*('04 · Matriz'!$C$6:$AA$30&lt;&gt;""))-Var_N&gt;=Ind_Preguntas),"✓ 6 · Revisión","6 · Revisión")</f>
      </c>
      <c r="T2" s="162">
        <f>IF((SUMPRODUCT((ROW('04 · Matriz'!$C$6:$AA$30)-5&lt;=Var_N)*(COLUMN('04 · Matriz'!$C$6:$AA$30)-2&lt;=Var_N)*('04 · Matriz'!$C$6:$AA$30&lt;&gt;""))-Var_N&gt;=Ind_Preguntas),"✓ 7 · Informe","7 · Informe")</f>
      </c>
      <c r="CG2" s="162" t="inlineStr">
        <is>
          <t xml:space="preserve">◀ Inicio</t>
        </is>
      </c>
    </row>
    <row r="3" ht="24" customHeight="1">
      <c r="B3" s="171">
        <f>"Ahora valore la intensidad: ¿influye DIRECTAMENTE la fila sobre la columna?        0 ninguna  ·  1 débil  ·  2 media  ·  3 fuerte        |        4 potencial: hoy no, pero sí dentro de su horizonte"</f>
      </c>
    </row>
    <row r="4" ht="26" customHeight="1">
      <c r="B4" s="168">
        <f>"SIN FACTORES INTERMEDIOS. Si la fila llega a la columna a través de un tercero, escriba 0: el cálculo lo recupera solo.        Progreso: "&amp;TEXT(MAX(0,SUMPRODUCT((ROW('04 · Matriz'!$C$6:$AA$30)-5&lt;=Var_N)*(COLUMN('04 · Matriz'!$C$6:$AA$30)-2&lt;=Var_N)*('04 · Matriz'!$C$6:$AA$30&lt;&gt;""))-Var_N),"#,##0")&amp;" de "&amp;TEXT(Ind_Preguntas,"#,##0")&amp;IF(Ind_Preguntas=0,""," ("&amp;TEXT(MAX(0,SUMPRODUCT((ROW('04 · Matriz'!$C$6:$AA$30)-5&lt;=Var_N)*(COLUMN('04 · Matriz'!$C$6:$AA$30)-2&lt;=Var_N)*('04 · Matriz'!$C$6:$AA$30&lt;&gt;""))-Var_N)/Ind_Preguntas,"0%")&amp;")")</f>
      </c>
      <c r="C4" s="168"/>
      <c r="D4" s="168"/>
      <c r="E4" s="168"/>
      <c r="F4" s="168"/>
      <c r="G4" s="168"/>
      <c r="H4" s="168"/>
      <c r="I4" s="168"/>
      <c r="J4" s="168"/>
      <c r="K4" s="168"/>
      <c r="L4" s="168"/>
      <c r="M4" s="168"/>
      <c r="N4" s="168"/>
      <c r="O4" s="168"/>
      <c r="P4" s="168"/>
      <c r="Q4" s="168"/>
      <c r="R4" s="168"/>
      <c r="S4" s="168"/>
      <c r="T4" s="168"/>
      <c r="U4" s="168"/>
      <c r="V4" s="168"/>
    </row>
    <row r="5" ht="30" customHeight="1">
      <c r="B5" s="132" t="inlineStr">
        <is>
          <t xml:space="preserve">La fila influye sobre la columna  →</t>
        </is>
      </c>
      <c r="C5" s="152">
        <f>IF(1&gt;Var_N,"",'02 · Variables'!$B$7)</f>
      </c>
      <c r="D5" s="152">
        <f>IF(2&gt;Var_N,"",'02 · Variables'!$B$8)</f>
      </c>
      <c r="E5" s="152">
        <f>IF(3&gt;Var_N,"",'02 · Variables'!$B$9)</f>
      </c>
      <c r="F5" s="152">
        <f>IF(4&gt;Var_N,"",'02 · Variables'!$B$10)</f>
      </c>
      <c r="G5" s="152">
        <f>IF(5&gt;Var_N,"",'02 · Variables'!$B$11)</f>
      </c>
      <c r="H5" s="152">
        <f>IF(6&gt;Var_N,"",'02 · Variables'!$B$12)</f>
      </c>
      <c r="I5" s="152">
        <f>IF(7&gt;Var_N,"",'02 · Variables'!$B$13)</f>
      </c>
      <c r="J5" s="152">
        <f>IF(8&gt;Var_N,"",'02 · Variables'!$B$14)</f>
      </c>
      <c r="K5" s="152">
        <f>IF(9&gt;Var_N,"",'02 · Variables'!$B$15)</f>
      </c>
      <c r="L5" s="152">
        <f>IF(10&gt;Var_N,"",'02 · Variables'!$B$16)</f>
      </c>
      <c r="M5" s="152">
        <f>IF(11&gt;Var_N,"",'02 · Variables'!$B$17)</f>
      </c>
      <c r="N5" s="152">
        <f>IF(12&gt;Var_N,"",'02 · Variables'!$B$18)</f>
      </c>
      <c r="O5" s="152">
        <f>IF(13&gt;Var_N,"",'02 · Variables'!$B$19)</f>
      </c>
      <c r="P5" s="152">
        <f>IF(14&gt;Var_N,"",'02 · Variables'!$B$20)</f>
      </c>
      <c r="Q5" s="152">
        <f>IF(15&gt;Var_N,"",'02 · Variables'!$B$21)</f>
      </c>
      <c r="R5" s="152">
        <f>IF(16&gt;Var_N,"",'02 · Variables'!$B$22)</f>
      </c>
      <c r="S5" s="152">
        <f>IF(17&gt;Var_N,"",'02 · Variables'!$B$23)</f>
      </c>
      <c r="T5" s="152">
        <f>IF(18&gt;Var_N,"",'02 · Variables'!$B$24)</f>
      </c>
      <c r="U5" s="152">
        <f>IF(19&gt;Var_N,"",'02 · Variables'!$B$25)</f>
      </c>
      <c r="V5" s="152">
        <f>IF(20&gt;Var_N,"",'02 · Variables'!$B$26)</f>
      </c>
      <c r="W5" s="152">
        <f>IF(21&gt;Var_N,"",'02 · Variables'!$B$27)</f>
      </c>
      <c r="X5" s="152">
        <f>IF(22&gt;Var_N,"",'02 · Variables'!$B$28)</f>
      </c>
      <c r="Y5" s="152">
        <f>IF(23&gt;Var_N,"",'02 · Variables'!$B$29)</f>
      </c>
      <c r="Z5" s="152">
        <f>IF(24&gt;Var_N,"",'02 · Variables'!$B$30)</f>
      </c>
      <c r="AA5" s="152">
        <f>IF(25&gt;Var_N,"",'02 · Variables'!$B$31)</f>
      </c>
      <c r="CE5" s="132"/>
      <c r="CF5" s="132" t="inlineStr">
        <is>
          <t xml:space="preserve">Qué mide este factor</t>
        </is>
      </c>
      <c r="CG5" s="133" t="inlineStr">
        <is>
          <t xml:space="preserve">Fila</t>
        </is>
      </c>
    </row>
    <row r="6" ht="19" customHeight="1">
      <c r="B6" s="153">
        <f>IF(1&gt;Var_N,"",'02 · Variables'!$B$7&amp;"   "&amp;'02 · Variables'!$C$7)</f>
      </c>
      <c r="C6" s="151">
        <v>0</v>
      </c>
      <c r="D6" s="150">
        <v>0</v>
      </c>
      <c r="E6" s="150">
        <v>0</v>
      </c>
      <c r="F6" s="150">
        <v>0</v>
      </c>
      <c r="G6" s="150">
        <v>0</v>
      </c>
      <c r="H6" s="150">
        <v>2</v>
      </c>
      <c r="I6" s="150">
        <v>0</v>
      </c>
      <c r="J6" s="150">
        <v>0</v>
      </c>
      <c r="K6" s="150">
        <v>3</v>
      </c>
      <c r="L6" s="150">
        <v>2</v>
      </c>
      <c r="M6" s="150"/>
      <c r="N6" s="150"/>
      <c r="O6" s="150"/>
      <c r="P6" s="150"/>
      <c r="Q6" s="150"/>
      <c r="R6" s="150"/>
      <c r="S6" s="150"/>
      <c r="T6" s="150"/>
      <c r="U6" s="150"/>
      <c r="V6" s="150"/>
      <c r="W6" s="150"/>
      <c r="X6" s="150"/>
      <c r="Y6" s="150"/>
      <c r="Z6" s="150"/>
      <c r="AA6" s="150"/>
      <c r="CE6" s="147"/>
      <c r="CF6" s="147">
        <f>IF(1&gt;Var_N,"",'02 · Variables'!$E$7)</f>
      </c>
      <c r="CG6" s="148">
        <f>IF(1&gt;Var_N,"",IF(COUNTA($C6:$AA6)-1&gt;=Var_N-1,"✓ completa",(Var_N-1)-(COUNTA($C6:$AA6)-1)&amp;" faltan"))</f>
      </c>
    </row>
    <row r="7" ht="19" customHeight="1">
      <c r="B7" s="153">
        <f>IF(2&gt;Var_N,"",'02 · Variables'!$B$8&amp;"   "&amp;'02 · Variables'!$C$8)</f>
      </c>
      <c r="C7" s="150">
        <v>0</v>
      </c>
      <c r="D7" s="151">
        <v>0</v>
      </c>
      <c r="E7" s="150">
        <v>0</v>
      </c>
      <c r="F7" s="150">
        <v>3</v>
      </c>
      <c r="G7" s="150">
        <v>3</v>
      </c>
      <c r="H7" s="150">
        <v>2</v>
      </c>
      <c r="I7" s="150">
        <v>0</v>
      </c>
      <c r="J7" s="150">
        <v>2</v>
      </c>
      <c r="K7" s="150">
        <v>0</v>
      </c>
      <c r="L7" s="150">
        <v>0</v>
      </c>
      <c r="M7" s="150"/>
      <c r="N7" s="150"/>
      <c r="O7" s="150"/>
      <c r="P7" s="150"/>
      <c r="Q7" s="150"/>
      <c r="R7" s="150"/>
      <c r="S7" s="150"/>
      <c r="T7" s="150"/>
      <c r="U7" s="150"/>
      <c r="V7" s="150"/>
      <c r="W7" s="150"/>
      <c r="X7" s="150"/>
      <c r="Y7" s="150"/>
      <c r="Z7" s="150"/>
      <c r="AA7" s="150"/>
      <c r="CE7" s="147"/>
      <c r="CF7" s="147">
        <f>IF(2&gt;Var_N,"",'02 · Variables'!$E$8)</f>
      </c>
      <c r="CG7" s="148">
        <f>IF(2&gt;Var_N,"",IF(COUNTA($C7:$AA7)-1&gt;=Var_N-1,"✓ completa",(Var_N-1)-(COUNTA($C7:$AA7)-1)&amp;" faltan"))</f>
      </c>
    </row>
    <row r="8" ht="19" customHeight="1">
      <c r="B8" s="153">
        <f>IF(3&gt;Var_N,"",'02 · Variables'!$B$9&amp;"   "&amp;'02 · Variables'!$C$9)</f>
      </c>
      <c r="C8" s="150">
        <v>0</v>
      </c>
      <c r="D8" s="150">
        <v>0</v>
      </c>
      <c r="E8" s="151">
        <v>0</v>
      </c>
      <c r="F8" s="150">
        <v>0</v>
      </c>
      <c r="G8" s="150">
        <v>3</v>
      </c>
      <c r="H8" s="150">
        <v>3</v>
      </c>
      <c r="I8" s="150">
        <v>2</v>
      </c>
      <c r="J8" s="150">
        <v>0</v>
      </c>
      <c r="K8" s="150">
        <v>2</v>
      </c>
      <c r="L8" s="150">
        <v>0</v>
      </c>
      <c r="M8" s="150"/>
      <c r="N8" s="150"/>
      <c r="O8" s="150"/>
      <c r="P8" s="150"/>
      <c r="Q8" s="150"/>
      <c r="R8" s="150"/>
      <c r="S8" s="150"/>
      <c r="T8" s="150"/>
      <c r="U8" s="150"/>
      <c r="V8" s="150"/>
      <c r="W8" s="150"/>
      <c r="X8" s="150"/>
      <c r="Y8" s="150"/>
      <c r="Z8" s="150"/>
      <c r="AA8" s="150"/>
      <c r="CE8" s="147"/>
      <c r="CF8" s="147">
        <f>IF(3&gt;Var_N,"",'02 · Variables'!$E$9)</f>
      </c>
      <c r="CG8" s="148">
        <f>IF(3&gt;Var_N,"",IF(COUNTA($C8:$AA8)-1&gt;=Var_N-1,"✓ completa",(Var_N-1)-(COUNTA($C8:$AA8)-1)&amp;" faltan"))</f>
      </c>
    </row>
    <row r="9" ht="19" customHeight="1">
      <c r="B9" s="153">
        <f>IF(4&gt;Var_N,"",'02 · Variables'!$B$10&amp;"   "&amp;'02 · Variables'!$C$10)</f>
      </c>
      <c r="C9" s="150">
        <v>0</v>
      </c>
      <c r="D9" s="150">
        <v>0</v>
      </c>
      <c r="E9" s="150">
        <v>1</v>
      </c>
      <c r="F9" s="151">
        <v>0</v>
      </c>
      <c r="G9" s="150">
        <v>3</v>
      </c>
      <c r="H9" s="150">
        <v>4</v>
      </c>
      <c r="I9" s="150">
        <v>0</v>
      </c>
      <c r="J9" s="150">
        <v>0</v>
      </c>
      <c r="K9" s="150">
        <v>0</v>
      </c>
      <c r="L9" s="150">
        <v>0</v>
      </c>
      <c r="M9" s="150"/>
      <c r="N9" s="150"/>
      <c r="O9" s="150"/>
      <c r="P9" s="150"/>
      <c r="Q9" s="150"/>
      <c r="R9" s="150"/>
      <c r="S9" s="150"/>
      <c r="T9" s="150"/>
      <c r="U9" s="150"/>
      <c r="V9" s="150"/>
      <c r="W9" s="150"/>
      <c r="X9" s="150"/>
      <c r="Y9" s="150"/>
      <c r="Z9" s="150"/>
      <c r="AA9" s="150"/>
      <c r="CE9" s="147"/>
      <c r="CF9" s="147">
        <f>IF(4&gt;Var_N,"",'02 · Variables'!$E$10)</f>
      </c>
      <c r="CG9" s="148">
        <f>IF(4&gt;Var_N,"",IF(COUNTA($C9:$AA9)-1&gt;=Var_N-1,"✓ completa",(Var_N-1)-(COUNTA($C9:$AA9)-1)&amp;" faltan"))</f>
      </c>
    </row>
    <row r="10" ht="19" customHeight="1">
      <c r="B10" s="153">
        <f>IF(5&gt;Var_N,"",'02 · Variables'!$B$11&amp;"   "&amp;'02 · Variables'!$C$11)</f>
      </c>
      <c r="C10" s="150">
        <v>0</v>
      </c>
      <c r="D10" s="150">
        <v>0</v>
      </c>
      <c r="E10" s="150">
        <v>1</v>
      </c>
      <c r="F10" s="150">
        <v>0</v>
      </c>
      <c r="G10" s="151">
        <v>0</v>
      </c>
      <c r="H10" s="150">
        <v>3</v>
      </c>
      <c r="I10" s="150">
        <v>0</v>
      </c>
      <c r="J10" s="150">
        <v>0</v>
      </c>
      <c r="K10" s="150">
        <v>0</v>
      </c>
      <c r="L10" s="150">
        <v>0</v>
      </c>
      <c r="M10" s="150"/>
      <c r="N10" s="150"/>
      <c r="O10" s="150"/>
      <c r="P10" s="150"/>
      <c r="Q10" s="150"/>
      <c r="R10" s="150"/>
      <c r="S10" s="150"/>
      <c r="T10" s="150"/>
      <c r="U10" s="150"/>
      <c r="V10" s="150"/>
      <c r="W10" s="150"/>
      <c r="X10" s="150"/>
      <c r="Y10" s="150"/>
      <c r="Z10" s="150"/>
      <c r="AA10" s="150"/>
      <c r="CE10" s="147"/>
      <c r="CF10" s="147">
        <f>IF(5&gt;Var_N,"",'02 · Variables'!$E$11)</f>
      </c>
      <c r="CG10" s="148">
        <f>IF(5&gt;Var_N,"",IF(COUNTA($C10:$AA10)-1&gt;=Var_N-1,"✓ completa",(Var_N-1)-(COUNTA($C10:$AA10)-1)&amp;" faltan"))</f>
      </c>
    </row>
    <row r="11" ht="19" customHeight="1">
      <c r="B11" s="153">
        <f>IF(6&gt;Var_N,"",'02 · Variables'!$B$12&amp;"   "&amp;'02 · Variables'!$C$12)</f>
      </c>
      <c r="C11" s="150">
        <v>0</v>
      </c>
      <c r="D11" s="150">
        <v>0</v>
      </c>
      <c r="E11" s="150">
        <v>3</v>
      </c>
      <c r="F11" s="150">
        <v>0</v>
      </c>
      <c r="G11" s="150">
        <v>0</v>
      </c>
      <c r="H11" s="151">
        <v>0</v>
      </c>
      <c r="I11" s="150">
        <v>0</v>
      </c>
      <c r="J11" s="150">
        <v>1</v>
      </c>
      <c r="K11" s="150">
        <v>3</v>
      </c>
      <c r="L11" s="150">
        <v>0</v>
      </c>
      <c r="M11" s="150"/>
      <c r="N11" s="150"/>
      <c r="O11" s="150"/>
      <c r="P11" s="150"/>
      <c r="Q11" s="150"/>
      <c r="R11" s="150"/>
      <c r="S11" s="150"/>
      <c r="T11" s="150"/>
      <c r="U11" s="150"/>
      <c r="V11" s="150"/>
      <c r="W11" s="150"/>
      <c r="X11" s="150"/>
      <c r="Y11" s="150"/>
      <c r="Z11" s="150"/>
      <c r="AA11" s="150"/>
      <c r="CE11" s="147"/>
      <c r="CF11" s="147">
        <f>IF(6&gt;Var_N,"",'02 · Variables'!$E$12)</f>
      </c>
      <c r="CG11" s="148">
        <f>IF(6&gt;Var_N,"",IF(COUNTA($C11:$AA11)-1&gt;=Var_N-1,"✓ completa",(Var_N-1)-(COUNTA($C11:$AA11)-1)&amp;" faltan"))</f>
      </c>
    </row>
    <row r="12" ht="19" customHeight="1">
      <c r="B12" s="153">
        <f>IF(7&gt;Var_N,"",'02 · Variables'!$B$13&amp;"   "&amp;'02 · Variables'!$C$13)</f>
      </c>
      <c r="C12" s="150">
        <v>0</v>
      </c>
      <c r="D12" s="150">
        <v>0</v>
      </c>
      <c r="E12" s="150">
        <v>2</v>
      </c>
      <c r="F12" s="150">
        <v>0</v>
      </c>
      <c r="G12" s="150">
        <v>2</v>
      </c>
      <c r="H12" s="150">
        <v>3</v>
      </c>
      <c r="I12" s="151">
        <v>0</v>
      </c>
      <c r="J12" s="150">
        <v>0</v>
      </c>
      <c r="K12" s="150">
        <v>0</v>
      </c>
      <c r="L12" s="150">
        <v>2</v>
      </c>
      <c r="M12" s="150"/>
      <c r="N12" s="150"/>
      <c r="O12" s="150"/>
      <c r="P12" s="150"/>
      <c r="Q12" s="150"/>
      <c r="R12" s="150"/>
      <c r="S12" s="150"/>
      <c r="T12" s="150"/>
      <c r="U12" s="150"/>
      <c r="V12" s="150"/>
      <c r="W12" s="150"/>
      <c r="X12" s="150"/>
      <c r="Y12" s="150"/>
      <c r="Z12" s="150"/>
      <c r="AA12" s="150"/>
      <c r="CE12" s="147"/>
      <c r="CF12" s="147">
        <f>IF(7&gt;Var_N,"",'02 · Variables'!$E$13)</f>
      </c>
      <c r="CG12" s="148">
        <f>IF(7&gt;Var_N,"",IF(COUNTA($C12:$AA12)-1&gt;=Var_N-1,"✓ completa",(Var_N-1)-(COUNTA($C12:$AA12)-1)&amp;" faltan"))</f>
      </c>
    </row>
    <row r="13" ht="19" customHeight="1">
      <c r="B13" s="153">
        <f>IF(8&gt;Var_N,"",'02 · Variables'!$B$14&amp;"   "&amp;'02 · Variables'!$C$14)</f>
      </c>
      <c r="C13" s="150">
        <v>0</v>
      </c>
      <c r="D13" s="150">
        <v>0</v>
      </c>
      <c r="E13" s="150">
        <v>3</v>
      </c>
      <c r="F13" s="150">
        <v>0</v>
      </c>
      <c r="G13" s="150">
        <v>0</v>
      </c>
      <c r="H13" s="150">
        <v>0</v>
      </c>
      <c r="I13" s="150">
        <v>0</v>
      </c>
      <c r="J13" s="151">
        <v>0</v>
      </c>
      <c r="K13" s="150">
        <v>1</v>
      </c>
      <c r="L13" s="150">
        <v>0</v>
      </c>
      <c r="M13" s="150"/>
      <c r="N13" s="150"/>
      <c r="O13" s="150"/>
      <c r="P13" s="150"/>
      <c r="Q13" s="150"/>
      <c r="R13" s="150"/>
      <c r="S13" s="150"/>
      <c r="T13" s="150"/>
      <c r="U13" s="150"/>
      <c r="V13" s="150"/>
      <c r="W13" s="150"/>
      <c r="X13" s="150"/>
      <c r="Y13" s="150"/>
      <c r="Z13" s="150"/>
      <c r="AA13" s="150"/>
      <c r="CE13" s="147"/>
      <c r="CF13" s="147">
        <f>IF(8&gt;Var_N,"",'02 · Variables'!$E$14)</f>
      </c>
      <c r="CG13" s="148">
        <f>IF(8&gt;Var_N,"",IF(COUNTA($C13:$AA13)-1&gt;=Var_N-1,"✓ completa",(Var_N-1)-(COUNTA($C13:$AA13)-1)&amp;" faltan"))</f>
      </c>
    </row>
    <row r="14" ht="19" customHeight="1">
      <c r="B14" s="153">
        <f>IF(9&gt;Var_N,"",'02 · Variables'!$B$15&amp;"   "&amp;'02 · Variables'!$C$15)</f>
      </c>
      <c r="C14" s="150">
        <v>0</v>
      </c>
      <c r="D14" s="150">
        <v>0</v>
      </c>
      <c r="E14" s="150">
        <v>0</v>
      </c>
      <c r="F14" s="150">
        <v>0</v>
      </c>
      <c r="G14" s="150">
        <v>2</v>
      </c>
      <c r="H14" s="150">
        <v>0</v>
      </c>
      <c r="I14" s="150">
        <v>2</v>
      </c>
      <c r="J14" s="150">
        <v>0</v>
      </c>
      <c r="K14" s="151">
        <v>0</v>
      </c>
      <c r="L14" s="150">
        <v>3</v>
      </c>
      <c r="M14" s="150"/>
      <c r="N14" s="150"/>
      <c r="O14" s="150"/>
      <c r="P14" s="150"/>
      <c r="Q14" s="150"/>
      <c r="R14" s="150"/>
      <c r="S14" s="150"/>
      <c r="T14" s="150"/>
      <c r="U14" s="150"/>
      <c r="V14" s="150"/>
      <c r="W14" s="150"/>
      <c r="X14" s="150"/>
      <c r="Y14" s="150"/>
      <c r="Z14" s="150"/>
      <c r="AA14" s="150"/>
      <c r="CE14" s="147"/>
      <c r="CF14" s="147">
        <f>IF(9&gt;Var_N,"",'02 · Variables'!$E$15)</f>
      </c>
      <c r="CG14" s="148">
        <f>IF(9&gt;Var_N,"",IF(COUNTA($C14:$AA14)-1&gt;=Var_N-1,"✓ completa",(Var_N-1)-(COUNTA($C14:$AA14)-1)&amp;" faltan"))</f>
      </c>
    </row>
    <row r="15" ht="19" customHeight="1">
      <c r="B15" s="153">
        <f>IF(10&gt;Var_N,"",'02 · Variables'!$B$16&amp;"   "&amp;'02 · Variables'!$C$16)</f>
      </c>
      <c r="C15" s="150">
        <v>0</v>
      </c>
      <c r="D15" s="150">
        <v>0</v>
      </c>
      <c r="E15" s="150">
        <v>1</v>
      </c>
      <c r="F15" s="150">
        <v>2</v>
      </c>
      <c r="G15" s="150">
        <v>3</v>
      </c>
      <c r="H15" s="150">
        <v>0</v>
      </c>
      <c r="I15" s="150">
        <v>3</v>
      </c>
      <c r="J15" s="150">
        <v>0</v>
      </c>
      <c r="K15" s="150">
        <v>0</v>
      </c>
      <c r="L15" s="151">
        <v>0</v>
      </c>
      <c r="M15" s="150"/>
      <c r="N15" s="150"/>
      <c r="O15" s="150"/>
      <c r="P15" s="150"/>
      <c r="Q15" s="150"/>
      <c r="R15" s="150"/>
      <c r="S15" s="150"/>
      <c r="T15" s="150"/>
      <c r="U15" s="150"/>
      <c r="V15" s="150"/>
      <c r="W15" s="150"/>
      <c r="X15" s="150"/>
      <c r="Y15" s="150"/>
      <c r="Z15" s="150"/>
      <c r="AA15" s="150"/>
      <c r="CE15" s="147"/>
      <c r="CF15" s="147">
        <f>IF(10&gt;Var_N,"",'02 · Variables'!$E$16)</f>
      </c>
      <c r="CG15" s="148">
        <f>IF(10&gt;Var_N,"",IF(COUNTA($C15:$AA15)-1&gt;=Var_N-1,"✓ completa",(Var_N-1)-(COUNTA($C15:$AA15)-1)&amp;" faltan"))</f>
      </c>
    </row>
    <row r="16" ht="19" customHeight="1">
      <c r="B16" s="153">
        <f>IF(11&gt;Var_N,"",'02 · Variables'!$B$17&amp;"   "&amp;'02 · Variables'!$C$17)</f>
      </c>
      <c r="C16" s="150"/>
      <c r="D16" s="150"/>
      <c r="E16" s="150"/>
      <c r="F16" s="150"/>
      <c r="G16" s="150"/>
      <c r="H16" s="150"/>
      <c r="I16" s="150"/>
      <c r="J16" s="150"/>
      <c r="K16" s="150"/>
      <c r="L16" s="150"/>
      <c r="M16" s="151">
        <v>0</v>
      </c>
      <c r="N16" s="150"/>
      <c r="O16" s="150"/>
      <c r="P16" s="150"/>
      <c r="Q16" s="150"/>
      <c r="R16" s="150"/>
      <c r="S16" s="150"/>
      <c r="T16" s="150"/>
      <c r="U16" s="150"/>
      <c r="V16" s="150"/>
      <c r="W16" s="150"/>
      <c r="X16" s="150"/>
      <c r="Y16" s="150"/>
      <c r="Z16" s="150"/>
      <c r="AA16" s="150"/>
      <c r="CE16" s="147"/>
      <c r="CF16" s="147">
        <f>IF(11&gt;Var_N,"",'02 · Variables'!$E$17)</f>
      </c>
      <c r="CG16" s="148">
        <f>IF(11&gt;Var_N,"",IF(COUNTA($C16:$AA16)-1&gt;=Var_N-1,"✓ completa",(Var_N-1)-(COUNTA($C16:$AA16)-1)&amp;" faltan"))</f>
      </c>
    </row>
    <row r="17" ht="19" customHeight="1">
      <c r="B17" s="153">
        <f>IF(12&gt;Var_N,"",'02 · Variables'!$B$18&amp;"   "&amp;'02 · Variables'!$C$18)</f>
      </c>
      <c r="C17" s="150"/>
      <c r="D17" s="150"/>
      <c r="E17" s="150"/>
      <c r="F17" s="150"/>
      <c r="G17" s="150"/>
      <c r="H17" s="150"/>
      <c r="I17" s="150"/>
      <c r="J17" s="150"/>
      <c r="K17" s="150"/>
      <c r="L17" s="150"/>
      <c r="M17" s="150"/>
      <c r="N17" s="151">
        <v>0</v>
      </c>
      <c r="O17" s="150"/>
      <c r="P17" s="150"/>
      <c r="Q17" s="150"/>
      <c r="R17" s="150"/>
      <c r="S17" s="150"/>
      <c r="T17" s="150"/>
      <c r="U17" s="150"/>
      <c r="V17" s="150"/>
      <c r="W17" s="150"/>
      <c r="X17" s="150"/>
      <c r="Y17" s="150"/>
      <c r="Z17" s="150"/>
      <c r="AA17" s="150"/>
      <c r="CE17" s="147"/>
      <c r="CF17" s="147">
        <f>IF(12&gt;Var_N,"",'02 · Variables'!$E$18)</f>
      </c>
      <c r="CG17" s="148">
        <f>IF(12&gt;Var_N,"",IF(COUNTA($C17:$AA17)-1&gt;=Var_N-1,"✓ completa",(Var_N-1)-(COUNTA($C17:$AA17)-1)&amp;" faltan"))</f>
      </c>
    </row>
    <row r="18" ht="19" customHeight="1">
      <c r="B18" s="153">
        <f>IF(13&gt;Var_N,"",'02 · Variables'!$B$19&amp;"   "&amp;'02 · Variables'!$C$19)</f>
      </c>
      <c r="C18" s="150"/>
      <c r="D18" s="150"/>
      <c r="E18" s="150"/>
      <c r="F18" s="150"/>
      <c r="G18" s="150"/>
      <c r="H18" s="150"/>
      <c r="I18" s="150"/>
      <c r="J18" s="150"/>
      <c r="K18" s="150"/>
      <c r="L18" s="150"/>
      <c r="M18" s="150"/>
      <c r="N18" s="150"/>
      <c r="O18" s="151">
        <v>0</v>
      </c>
      <c r="P18" s="150"/>
      <c r="Q18" s="150"/>
      <c r="R18" s="150"/>
      <c r="S18" s="150"/>
      <c r="T18" s="150"/>
      <c r="U18" s="150"/>
      <c r="V18" s="150"/>
      <c r="W18" s="150"/>
      <c r="X18" s="150"/>
      <c r="Y18" s="150"/>
      <c r="Z18" s="150"/>
      <c r="AA18" s="150"/>
      <c r="CE18" s="147"/>
      <c r="CF18" s="147">
        <f>IF(13&gt;Var_N,"",'02 · Variables'!$E$19)</f>
      </c>
      <c r="CG18" s="148">
        <f>IF(13&gt;Var_N,"",IF(COUNTA($C18:$AA18)-1&gt;=Var_N-1,"✓ completa",(Var_N-1)-(COUNTA($C18:$AA18)-1)&amp;" faltan"))</f>
      </c>
    </row>
    <row r="19" ht="19" customHeight="1">
      <c r="B19" s="153">
        <f>IF(14&gt;Var_N,"",'02 · Variables'!$B$20&amp;"   "&amp;'02 · Variables'!$C$20)</f>
      </c>
      <c r="C19" s="150"/>
      <c r="D19" s="150"/>
      <c r="E19" s="150"/>
      <c r="F19" s="150"/>
      <c r="G19" s="150"/>
      <c r="H19" s="150"/>
      <c r="I19" s="150"/>
      <c r="J19" s="150"/>
      <c r="K19" s="150"/>
      <c r="L19" s="150"/>
      <c r="M19" s="150"/>
      <c r="N19" s="150"/>
      <c r="O19" s="150"/>
      <c r="P19" s="151">
        <v>0</v>
      </c>
      <c r="Q19" s="150"/>
      <c r="R19" s="150"/>
      <c r="S19" s="150"/>
      <c r="T19" s="150"/>
      <c r="U19" s="150"/>
      <c r="V19" s="150"/>
      <c r="W19" s="150"/>
      <c r="X19" s="150"/>
      <c r="Y19" s="150"/>
      <c r="Z19" s="150"/>
      <c r="AA19" s="150"/>
      <c r="CE19" s="147"/>
      <c r="CF19" s="147">
        <f>IF(14&gt;Var_N,"",'02 · Variables'!$E$20)</f>
      </c>
      <c r="CG19" s="148">
        <f>IF(14&gt;Var_N,"",IF(COUNTA($C19:$AA19)-1&gt;=Var_N-1,"✓ completa",(Var_N-1)-(COUNTA($C19:$AA19)-1)&amp;" faltan"))</f>
      </c>
    </row>
    <row r="20" ht="19" customHeight="1">
      <c r="B20" s="153">
        <f>IF(15&gt;Var_N,"",'02 · Variables'!$B$21&amp;"   "&amp;'02 · Variables'!$C$21)</f>
      </c>
      <c r="C20" s="150"/>
      <c r="D20" s="150"/>
      <c r="E20" s="150"/>
      <c r="F20" s="150"/>
      <c r="G20" s="150"/>
      <c r="H20" s="150"/>
      <c r="I20" s="150"/>
      <c r="J20" s="150"/>
      <c r="K20" s="150"/>
      <c r="L20" s="150"/>
      <c r="M20" s="150"/>
      <c r="N20" s="150"/>
      <c r="O20" s="150"/>
      <c r="P20" s="150"/>
      <c r="Q20" s="151">
        <v>0</v>
      </c>
      <c r="R20" s="150"/>
      <c r="S20" s="150"/>
      <c r="T20" s="150"/>
      <c r="U20" s="150"/>
      <c r="V20" s="150"/>
      <c r="W20" s="150"/>
      <c r="X20" s="150"/>
      <c r="Y20" s="150"/>
      <c r="Z20" s="150"/>
      <c r="AA20" s="150"/>
      <c r="CE20" s="147"/>
      <c r="CF20" s="147">
        <f>IF(15&gt;Var_N,"",'02 · Variables'!$E$21)</f>
      </c>
      <c r="CG20" s="148">
        <f>IF(15&gt;Var_N,"",IF(COUNTA($C20:$AA20)-1&gt;=Var_N-1,"✓ completa",(Var_N-1)-(COUNTA($C20:$AA20)-1)&amp;" faltan"))</f>
      </c>
    </row>
    <row r="21" ht="19" customHeight="1">
      <c r="B21" s="153">
        <f>IF(16&gt;Var_N,"",'02 · Variables'!$B$22&amp;"   "&amp;'02 · Variables'!$C$22)</f>
      </c>
      <c r="C21" s="150"/>
      <c r="D21" s="150"/>
      <c r="E21" s="150"/>
      <c r="F21" s="150"/>
      <c r="G21" s="150"/>
      <c r="H21" s="150"/>
      <c r="I21" s="150"/>
      <c r="J21" s="150"/>
      <c r="K21" s="150"/>
      <c r="L21" s="150"/>
      <c r="M21" s="150"/>
      <c r="N21" s="150"/>
      <c r="O21" s="150"/>
      <c r="P21" s="150"/>
      <c r="Q21" s="150"/>
      <c r="R21" s="151">
        <v>0</v>
      </c>
      <c r="S21" s="150"/>
      <c r="T21" s="150"/>
      <c r="U21" s="150"/>
      <c r="V21" s="150"/>
      <c r="W21" s="150"/>
      <c r="X21" s="150"/>
      <c r="Y21" s="150"/>
      <c r="Z21" s="150"/>
      <c r="AA21" s="150"/>
      <c r="CE21" s="147"/>
      <c r="CF21" s="147">
        <f>IF(16&gt;Var_N,"",'02 · Variables'!$E$22)</f>
      </c>
      <c r="CG21" s="148">
        <f>IF(16&gt;Var_N,"",IF(COUNTA($C21:$AA21)-1&gt;=Var_N-1,"✓ completa",(Var_N-1)-(COUNTA($C21:$AA21)-1)&amp;" faltan"))</f>
      </c>
    </row>
    <row r="22" ht="19" customHeight="1">
      <c r="B22" s="153">
        <f>IF(17&gt;Var_N,"",'02 · Variables'!$B$23&amp;"   "&amp;'02 · Variables'!$C$23)</f>
      </c>
      <c r="C22" s="150"/>
      <c r="D22" s="150"/>
      <c r="E22" s="150"/>
      <c r="F22" s="150"/>
      <c r="G22" s="150"/>
      <c r="H22" s="150"/>
      <c r="I22" s="150"/>
      <c r="J22" s="150"/>
      <c r="K22" s="150"/>
      <c r="L22" s="150"/>
      <c r="M22" s="150"/>
      <c r="N22" s="150"/>
      <c r="O22" s="150"/>
      <c r="P22" s="150"/>
      <c r="Q22" s="150"/>
      <c r="R22" s="150"/>
      <c r="S22" s="151">
        <v>0</v>
      </c>
      <c r="T22" s="150"/>
      <c r="U22" s="150"/>
      <c r="V22" s="150"/>
      <c r="W22" s="150"/>
      <c r="X22" s="150"/>
      <c r="Y22" s="150"/>
      <c r="Z22" s="150"/>
      <c r="AA22" s="150"/>
      <c r="CE22" s="147"/>
      <c r="CF22" s="147">
        <f>IF(17&gt;Var_N,"",'02 · Variables'!$E$23)</f>
      </c>
      <c r="CG22" s="148">
        <f>IF(17&gt;Var_N,"",IF(COUNTA($C22:$AA22)-1&gt;=Var_N-1,"✓ completa",(Var_N-1)-(COUNTA($C22:$AA22)-1)&amp;" faltan"))</f>
      </c>
    </row>
    <row r="23" ht="19" customHeight="1">
      <c r="B23" s="153">
        <f>IF(18&gt;Var_N,"",'02 · Variables'!$B$24&amp;"   "&amp;'02 · Variables'!$C$24)</f>
      </c>
      <c r="C23" s="150"/>
      <c r="D23" s="150"/>
      <c r="E23" s="150"/>
      <c r="F23" s="150"/>
      <c r="G23" s="150"/>
      <c r="H23" s="150"/>
      <c r="I23" s="150"/>
      <c r="J23" s="150"/>
      <c r="K23" s="150"/>
      <c r="L23" s="150"/>
      <c r="M23" s="150"/>
      <c r="N23" s="150"/>
      <c r="O23" s="150"/>
      <c r="P23" s="150"/>
      <c r="Q23" s="150"/>
      <c r="R23" s="150"/>
      <c r="S23" s="150"/>
      <c r="T23" s="151">
        <v>0</v>
      </c>
      <c r="U23" s="150"/>
      <c r="V23" s="150"/>
      <c r="W23" s="150"/>
      <c r="X23" s="150"/>
      <c r="Y23" s="150"/>
      <c r="Z23" s="150"/>
      <c r="AA23" s="150"/>
      <c r="CE23" s="147"/>
      <c r="CF23" s="147">
        <f>IF(18&gt;Var_N,"",'02 · Variables'!$E$24)</f>
      </c>
      <c r="CG23" s="148">
        <f>IF(18&gt;Var_N,"",IF(COUNTA($C23:$AA23)-1&gt;=Var_N-1,"✓ completa",(Var_N-1)-(COUNTA($C23:$AA23)-1)&amp;" faltan"))</f>
      </c>
    </row>
    <row r="24" ht="19" customHeight="1">
      <c r="B24" s="153">
        <f>IF(19&gt;Var_N,"",'02 · Variables'!$B$25&amp;"   "&amp;'02 · Variables'!$C$25)</f>
      </c>
      <c r="C24" s="150"/>
      <c r="D24" s="150"/>
      <c r="E24" s="150"/>
      <c r="F24" s="150"/>
      <c r="G24" s="150"/>
      <c r="H24" s="150"/>
      <c r="I24" s="150"/>
      <c r="J24" s="150"/>
      <c r="K24" s="150"/>
      <c r="L24" s="150"/>
      <c r="M24" s="150"/>
      <c r="N24" s="150"/>
      <c r="O24" s="150"/>
      <c r="P24" s="150"/>
      <c r="Q24" s="150"/>
      <c r="R24" s="150"/>
      <c r="S24" s="150"/>
      <c r="T24" s="150"/>
      <c r="U24" s="151">
        <v>0</v>
      </c>
      <c r="V24" s="150"/>
      <c r="W24" s="150"/>
      <c r="X24" s="150"/>
      <c r="Y24" s="150"/>
      <c r="Z24" s="150"/>
      <c r="AA24" s="150"/>
      <c r="CE24" s="147"/>
      <c r="CF24" s="147">
        <f>IF(19&gt;Var_N,"",'02 · Variables'!$E$25)</f>
      </c>
      <c r="CG24" s="148">
        <f>IF(19&gt;Var_N,"",IF(COUNTA($C24:$AA24)-1&gt;=Var_N-1,"✓ completa",(Var_N-1)-(COUNTA($C24:$AA24)-1)&amp;" faltan"))</f>
      </c>
    </row>
    <row r="25" ht="19" customHeight="1">
      <c r="B25" s="153">
        <f>IF(20&gt;Var_N,"",'02 · Variables'!$B$26&amp;"   "&amp;'02 · Variables'!$C$26)</f>
      </c>
      <c r="C25" s="150"/>
      <c r="D25" s="150"/>
      <c r="E25" s="150"/>
      <c r="F25" s="150"/>
      <c r="G25" s="150"/>
      <c r="H25" s="150"/>
      <c r="I25" s="150"/>
      <c r="J25" s="150"/>
      <c r="K25" s="150"/>
      <c r="L25" s="150"/>
      <c r="M25" s="150"/>
      <c r="N25" s="150"/>
      <c r="O25" s="150"/>
      <c r="P25" s="150"/>
      <c r="Q25" s="150"/>
      <c r="R25" s="150"/>
      <c r="S25" s="150"/>
      <c r="T25" s="150"/>
      <c r="U25" s="150"/>
      <c r="V25" s="151">
        <v>0</v>
      </c>
      <c r="W25" s="150"/>
      <c r="X25" s="150"/>
      <c r="Y25" s="150"/>
      <c r="Z25" s="150"/>
      <c r="AA25" s="150"/>
      <c r="CE25" s="147"/>
      <c r="CF25" s="147">
        <f>IF(20&gt;Var_N,"",'02 · Variables'!$E$26)</f>
      </c>
      <c r="CG25" s="148">
        <f>IF(20&gt;Var_N,"",IF(COUNTA($C25:$AA25)-1&gt;=Var_N-1,"✓ completa",(Var_N-1)-(COUNTA($C25:$AA25)-1)&amp;" faltan"))</f>
      </c>
    </row>
    <row r="26" ht="19" customHeight="1">
      <c r="B26" s="153">
        <f>IF(21&gt;Var_N,"",'02 · Variables'!$B$27&amp;"   "&amp;'02 · Variables'!$C$27)</f>
      </c>
      <c r="C26" s="150"/>
      <c r="D26" s="150"/>
      <c r="E26" s="150"/>
      <c r="F26" s="150"/>
      <c r="G26" s="150"/>
      <c r="H26" s="150"/>
      <c r="I26" s="150"/>
      <c r="J26" s="150"/>
      <c r="K26" s="150"/>
      <c r="L26" s="150"/>
      <c r="M26" s="150"/>
      <c r="N26" s="150"/>
      <c r="O26" s="150"/>
      <c r="P26" s="150"/>
      <c r="Q26" s="150"/>
      <c r="R26" s="150"/>
      <c r="S26" s="150"/>
      <c r="T26" s="150"/>
      <c r="U26" s="150"/>
      <c r="V26" s="150"/>
      <c r="W26" s="151">
        <v>0</v>
      </c>
      <c r="X26" s="150"/>
      <c r="Y26" s="150"/>
      <c r="Z26" s="150"/>
      <c r="AA26" s="150"/>
      <c r="CE26" s="147"/>
      <c r="CF26" s="147">
        <f>IF(21&gt;Var_N,"",'02 · Variables'!$E$27)</f>
      </c>
      <c r="CG26" s="148">
        <f>IF(21&gt;Var_N,"",IF(COUNTA($C26:$AA26)-1&gt;=Var_N-1,"✓ completa",(Var_N-1)-(COUNTA($C26:$AA26)-1)&amp;" faltan"))</f>
      </c>
    </row>
    <row r="27" ht="19" customHeight="1">
      <c r="B27" s="153">
        <f>IF(22&gt;Var_N,"",'02 · Variables'!$B$28&amp;"   "&amp;'02 · Variables'!$C$28)</f>
      </c>
      <c r="C27" s="150"/>
      <c r="D27" s="150"/>
      <c r="E27" s="150"/>
      <c r="F27" s="150"/>
      <c r="G27" s="150"/>
      <c r="H27" s="150"/>
      <c r="I27" s="150"/>
      <c r="J27" s="150"/>
      <c r="K27" s="150"/>
      <c r="L27" s="150"/>
      <c r="M27" s="150"/>
      <c r="N27" s="150"/>
      <c r="O27" s="150"/>
      <c r="P27" s="150"/>
      <c r="Q27" s="150"/>
      <c r="R27" s="150"/>
      <c r="S27" s="150"/>
      <c r="T27" s="150"/>
      <c r="U27" s="150"/>
      <c r="V27" s="150"/>
      <c r="W27" s="150"/>
      <c r="X27" s="151">
        <v>0</v>
      </c>
      <c r="Y27" s="150"/>
      <c r="Z27" s="150"/>
      <c r="AA27" s="150"/>
      <c r="CE27" s="147"/>
      <c r="CF27" s="147">
        <f>IF(22&gt;Var_N,"",'02 · Variables'!$E$28)</f>
      </c>
      <c r="CG27" s="148">
        <f>IF(22&gt;Var_N,"",IF(COUNTA($C27:$AA27)-1&gt;=Var_N-1,"✓ completa",(Var_N-1)-(COUNTA($C27:$AA27)-1)&amp;" faltan"))</f>
      </c>
    </row>
    <row r="28" ht="19" customHeight="1">
      <c r="B28" s="153">
        <f>IF(23&gt;Var_N,"",'02 · Variables'!$B$29&amp;"   "&amp;'02 · Variables'!$C$29)</f>
      </c>
      <c r="C28" s="150"/>
      <c r="D28" s="150"/>
      <c r="E28" s="150"/>
      <c r="F28" s="150"/>
      <c r="G28" s="150"/>
      <c r="H28" s="150"/>
      <c r="I28" s="150"/>
      <c r="J28" s="150"/>
      <c r="K28" s="150"/>
      <c r="L28" s="150"/>
      <c r="M28" s="150"/>
      <c r="N28" s="150"/>
      <c r="O28" s="150"/>
      <c r="P28" s="150"/>
      <c r="Q28" s="150"/>
      <c r="R28" s="150"/>
      <c r="S28" s="150"/>
      <c r="T28" s="150"/>
      <c r="U28" s="150"/>
      <c r="V28" s="150"/>
      <c r="W28" s="150"/>
      <c r="X28" s="150"/>
      <c r="Y28" s="151">
        <v>0</v>
      </c>
      <c r="Z28" s="150"/>
      <c r="AA28" s="150"/>
      <c r="CE28" s="147"/>
      <c r="CF28" s="147">
        <f>IF(23&gt;Var_N,"",'02 · Variables'!$E$29)</f>
      </c>
      <c r="CG28" s="148">
        <f>IF(23&gt;Var_N,"",IF(COUNTA($C28:$AA28)-1&gt;=Var_N-1,"✓ completa",(Var_N-1)-(COUNTA($C28:$AA28)-1)&amp;" faltan"))</f>
      </c>
    </row>
    <row r="29" ht="19" customHeight="1">
      <c r="B29" s="153">
        <f>IF(24&gt;Var_N,"",'02 · Variables'!$B$30&amp;"   "&amp;'02 · Variables'!$C$30)</f>
      </c>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1">
        <v>0</v>
      </c>
      <c r="AA29" s="150"/>
      <c r="CE29" s="147"/>
      <c r="CF29" s="147">
        <f>IF(24&gt;Var_N,"",'02 · Variables'!$E$30)</f>
      </c>
      <c r="CG29" s="148">
        <f>IF(24&gt;Var_N,"",IF(COUNTA($C29:$AA29)-1&gt;=Var_N-1,"✓ completa",(Var_N-1)-(COUNTA($C29:$AA29)-1)&amp;" faltan"))</f>
      </c>
    </row>
    <row r="30" ht="19" customHeight="1">
      <c r="B30" s="153">
        <f>IF(25&gt;Var_N,"",'02 · Variables'!$B$31&amp;"   "&amp;'02 · Variables'!$C$31)</f>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1">
        <v>0</v>
      </c>
      <c r="CE30" s="147"/>
      <c r="CF30" s="147">
        <f>IF(25&gt;Var_N,"",'02 · Variables'!$E$31)</f>
      </c>
      <c r="CG30" s="148">
        <f>IF(25&gt;Var_N,"",IF(COUNTA($C30:$AA30)-1&gt;=Var_N-1,"✓ completa",(Var_N-1)-(COUNTA($C30:$AA30)-1)&amp;" faltan"))</f>
      </c>
    </row>
    <row r="31" hidden="1"/>
    <row r="32"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t="22" customHeight="1">
      <c r="B87" s="192" t="inlineStr">
        <is>
          <t xml:space="preserve">LO QUE ACORDARON EN EL PASO ANTERIOR</t>
        </is>
      </c>
    </row>
    <row r="88" ht="22" customHeight="1">
      <c r="B88" s="180">
        <f>'03 · Criterio'!$C$28</f>
      </c>
      <c r="C88" s="147">
        <f>'03 · Criterio'!$C$29</f>
      </c>
      <c r="D88" s="147"/>
      <c r="E88" s="147"/>
      <c r="F88" s="147"/>
      <c r="G88" s="147"/>
      <c r="H88" s="147"/>
      <c r="I88" s="147"/>
      <c r="J88" s="147"/>
      <c r="K88" s="147"/>
      <c r="L88" s="147"/>
      <c r="M88" s="147"/>
      <c r="N88" s="147"/>
      <c r="O88" s="147"/>
      <c r="P88" s="147"/>
      <c r="Q88" s="147"/>
      <c r="R88" s="147"/>
      <c r="S88" s="147"/>
      <c r="T88" s="147"/>
      <c r="U88" s="147"/>
      <c r="V88" s="147"/>
    </row>
    <row r="89" ht="22" customHeight="1">
      <c r="B89" s="180">
        <f>'03 · Criterio'!$C$30</f>
      </c>
      <c r="C89" s="147">
        <f>'03 · Criterio'!$C$31</f>
      </c>
      <c r="D89" s="147"/>
      <c r="E89" s="147"/>
      <c r="F89" s="147"/>
      <c r="G89" s="147"/>
      <c r="H89" s="147"/>
      <c r="I89" s="147"/>
      <c r="J89" s="147"/>
      <c r="K89" s="147"/>
      <c r="L89" s="147"/>
      <c r="M89" s="147"/>
      <c r="N89" s="147"/>
      <c r="O89" s="147"/>
      <c r="P89" s="147"/>
      <c r="Q89" s="147"/>
      <c r="R89" s="147"/>
      <c r="S89" s="147"/>
      <c r="T89" s="147"/>
      <c r="U89" s="147"/>
      <c r="V89" s="147"/>
    </row>
    <row r="90" ht="22" customHeight="1">
      <c r="B90" s="180">
        <f>'03 · Criterio'!$C$32</f>
      </c>
      <c r="C90" s="147">
        <f>'03 · Criterio'!$C$33</f>
      </c>
      <c r="D90" s="147"/>
      <c r="E90" s="147"/>
      <c r="F90" s="147"/>
      <c r="G90" s="147"/>
      <c r="H90" s="147"/>
      <c r="I90" s="147"/>
      <c r="J90" s="147"/>
      <c r="K90" s="147"/>
      <c r="L90" s="147"/>
      <c r="M90" s="147"/>
      <c r="N90" s="147"/>
      <c r="O90" s="147"/>
      <c r="P90" s="147"/>
      <c r="Q90" s="147"/>
      <c r="R90" s="147"/>
      <c r="S90" s="147"/>
      <c r="T90" s="147"/>
      <c r="U90" s="147"/>
      <c r="V90" s="147"/>
    </row>
    <row r="91" ht="22" customHeight="1">
      <c r="B91" s="180">
        <f>'03 · Criterio'!$C$34</f>
      </c>
      <c r="C91" s="147">
        <f>'03 · Criterio'!$C$35</f>
      </c>
      <c r="D91" s="147"/>
      <c r="E91" s="147"/>
      <c r="F91" s="147"/>
      <c r="G91" s="147"/>
      <c r="H91" s="147"/>
      <c r="I91" s="147"/>
      <c r="J91" s="147"/>
      <c r="K91" s="147"/>
      <c r="L91" s="147"/>
      <c r="M91" s="147"/>
      <c r="N91" s="147"/>
      <c r="O91" s="147"/>
      <c r="P91" s="147"/>
      <c r="Q91" s="147"/>
      <c r="R91" s="147"/>
      <c r="S91" s="147"/>
      <c r="T91" s="147"/>
      <c r="U91" s="147"/>
      <c r="V91" s="147"/>
    </row>
    <row r="92" ht="20" customHeight="1">
      <c r="B92" s="192" t="inlineStr">
        <is>
          <t xml:space="preserve">ANTES DE VALORAR</t>
        </is>
      </c>
    </row>
    <row r="93" ht="24" customHeight="1">
      <c r="B93" s="144">
        <f>IF(AND(COUNTA('02 · Variables'!$C$7:$C$31)&gt;=8,COUNTA('02 · Variables'!$E$7:$E$31)&gt;=COUNTA('02 · Variables'!$C$7:$C$31),COUNTA('03 · Criterio'!$D$9:$D$23)=8),"","⚠ "&amp;IF(COUNTA('02 · Variables'!$C$7:$C$31)&lt;8,"Faltan factores por definir. ","")&amp;IF(COUNTA('02 · Variables'!$E$7:$E$31)&lt;COUNTA('02 · Variables'!$C$7:$C$31),"Hay factores sin definición operacional. ","")&amp;IF(COUNTA('03 · Criterio'!$D$9:$D$23)&lt;8,"El panel no ha acordado el criterio. ","")&amp;"Puede valorar igualmente, pero el resultado será menos fiable.")</f>
      </c>
      <c r="C93" s="143"/>
      <c r="D93" s="143"/>
      <c r="E93" s="143"/>
      <c r="F93" s="143"/>
      <c r="G93" s="143"/>
      <c r="H93" s="143"/>
      <c r="I93" s="143"/>
      <c r="J93" s="143"/>
      <c r="K93" s="143"/>
      <c r="L93" s="143"/>
      <c r="M93" s="143"/>
      <c r="N93" s="143"/>
      <c r="O93" s="143"/>
      <c r="P93" s="143"/>
      <c r="Q93" s="143"/>
      <c r="R93" s="143"/>
      <c r="S93" s="143"/>
      <c r="T93" s="143"/>
      <c r="U93" s="143"/>
      <c r="V93" s="143"/>
    </row>
    <row r="94" ht="34" customHeight="1">
      <c r="B94" s="199" t="inlineStr">
        <is>
          <t xml:space="preserve">Cómo se lee una celda: la fila influye sobre la columna. F7 vale 3, es decir, el volumen de tráfico de contenedores influye con fuerza sobre la digitalización de la cadena logística.</t>
        </is>
      </c>
    </row>
    <row r="95" ht="32" customHeight="1">
      <c r="B95" s="175" t="inlineStr">
        <is>
          <t xml:space="preserve">CONTINUAR AL PASO 5   ▶</t>
        </is>
      </c>
      <c r="C95" s="175"/>
      <c r="D95" s="175"/>
      <c r="E95" s="175"/>
      <c r="F95" s="175"/>
    </row>
  </sheetData>
  <sheetProtection password="CD7E" sheet="1" formatCells="0" formatColumns="0" formatRows="0" insertRows="0"/>
  <mergeCells count="12">
    <mergeCell ref="B1:L1"/>
    <mergeCell ref="B3:V3"/>
    <mergeCell ref="B4:V4"/>
    <mergeCell ref="B87:L87"/>
    <mergeCell ref="C88:V88"/>
    <mergeCell ref="C89:V89"/>
    <mergeCell ref="C90:V90"/>
    <mergeCell ref="C91:V91"/>
    <mergeCell ref="B92:L92"/>
    <mergeCell ref="B93:V93"/>
    <mergeCell ref="B95:F95"/>
    <mergeCell ref="B94:V94"/>
  </mergeCells>
  <dataValidations count="1">
    <dataValidation type="list" allowBlank="1" showInputMessage="1" showErrorMessage="1" promptTitle="Influencia directa" prompt="0 ninguna · 1 débil · 2 media · 3 fuerte · 4 potencial. Si la fila llega a la columna a través de un tercer factor, escriba 0." errorTitle="Valor no admitido" error="0 ninguna · 1 débil · 2 media · 3 fuerte · 4 potencial. Si la fila llega a la columna a través de un tercer factor, escriba 0." sqref="C6:AA30">
      <formula1>"0,1,2,3,4"</formula1>
    </dataValidation>
  </dataValidations>
  <hyperlinks>
    <hyperlink ref="B2" location="'01 · Encuadre'!A1" display="Encuadre"/>
    <hyperlink ref="E2" location="'02 · Variables'!A1" display="Variables"/>
    <hyperlink ref="H2" location="'03 · Criterio'!A1" display="Criterio"/>
    <hyperlink ref="K2" location="'04 · Matriz'!A1" display="Matriz"/>
    <hyperlink ref="N2" location="'05 · Resultado'!A1" display="Resultado"/>
    <hyperlink ref="Q2" location="'Comprobación'!A1" display="Revisión"/>
    <hyperlink ref="T2" location="'06 · Informe'!A1" display="Informe"/>
    <hyperlink ref="CG2" location="Inicio!A1" display="Inicio"/>
    <hyperlink ref="B93" location="'05 · Resultado'!A1" display="Resultado"/>
    <hyperlink ref="B95" location="'05 · Resultado'!A1" display="Resultado"/>
  </hyperlinks>
  <pageMargins left="0.4" right="0.4" top="0.5" bottom="0.5" header="0.3" footer="0.3"/>
  <pageSetup paperSize="9" scale="100" fitToWidth="1" fitToHeight="0" orientation="landscape"/>
  <headerFooter>
    <oddFooter>&amp;L&amp;"Aptos,Regular"&amp;8&amp;K94A0AEIntelKIT · MICMAC Essentials v1.0&amp;R&amp;"Aptos,Regular"&amp;8&amp;K94A0AEPágina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F82C0"/>
    <pageSetUpPr fitToPage="1"/>
  </sheetPr>
  <dimension ref="A1:J8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30" customWidth="1"/>
    <col min="3" max="4" width="13" customWidth="1"/>
    <col min="5" max="8" width="10" customWidth="1"/>
    <col min="9" max="9" width="30" customWidth="1"/>
    <col min="10" max="10" width="26" customWidth="1"/>
  </cols>
  <sheetData>
    <row r="1" spans="1:9" ht="24" customHeight="1">
      <c r="A1" s="68"/>
      <c r="B1" s="65" t="inlineStr">
        <is>
          <t>◀ Inicio</t>
        </is>
      </c>
      <c r="C1" s="66" t="inlineStr">
        <is>
          <t>Bloque 3 · Resultados   ·   Clasificación directa   ·   Paso 9 de 22</t>
        </is>
      </c>
      <c r="D1" s="68"/>
      <c r="E1" s="68"/>
      <c r="F1" s="68"/>
      <c r="G1" s="68"/>
      <c r="H1" s="68"/>
      <c r="I1" s="67" t="inlineStr">
        <is>
          <t>Continuar ▶</t>
        </is>
      </c>
    </row>
    <row r="2" spans="1:10" ht="26" x14ac:dyDescent="0.2" customHeight="1">
      <c r="B2" s="72" t="s">
        <v>377</v>
      </c>
    </row>
    <row r="3" spans="1:10" ht="22" x14ac:dyDescent="0.2" customHeight="1">
      <c r="B3" s="73" t="s">
        <v>378</v>
      </c>
    </row>
    <row r="5" spans="1:10" x14ac:dyDescent="0.2">
      <c r="A5" s="20" t="s">
        <v>147</v>
      </c>
      <c r="B5" s="20" t="s">
        <v>379</v>
      </c>
      <c r="C5" s="20" t="s">
        <v>380</v>
      </c>
      <c r="D5" s="20" t="s">
        <v>381</v>
      </c>
      <c r="E5" s="20" t="s">
        <v>382</v>
      </c>
      <c r="F5" s="20" t="s">
        <v>383</v>
      </c>
      <c r="G5" s="20" t="s">
        <v>384</v>
      </c>
      <c r="H5" s="20" t="s">
        <v>385</v>
      </c>
      <c r="I5" s="20" t="s">
        <v>386</v>
      </c>
      <c r="J5" s="20" t="s">
        <v>387</v>
      </c>
    </row>
    <row r="6" spans="1:10" x14ac:dyDescent="0.2">
      <c r="A6" s="21">
        <f>IF('_motor'!$B$586=0,"",'02 · Variables'!$B$7)</f>
        <v/>
      </c>
      <c r="B6" s="19">
        <f>IF('_motor'!$B$586=0,"",'02 · Variables'!$C$7)</f>
        <v/>
      </c>
      <c r="C6" s="38">
        <f>IF('_motor'!$B$586=0,"",'_motor'!$C$586)</f>
        <v/>
      </c>
      <c r="D6" s="38">
        <f>IF('_motor'!$B$586=0,"",'_motor'!$D$586)</f>
        <v/>
      </c>
      <c r="E6" s="33">
        <f>IF(OR('_motor'!$B$586=0,'_motor'!$B$672=0),"",'_motor'!$C$586/'_motor'!$B$672)</f>
        <v/>
      </c>
      <c r="F6" s="33">
        <f>IF(OR('_motor'!$B$586=0,'_motor'!$B$672=0),"",'_motor'!$D$586/'_motor'!$B$672)</f>
        <v/>
      </c>
      <c r="G6" s="22">
        <f>IF('_motor'!$B$586=0,"",SUMPRODUCT('_motor'!$B$586:$B$665*('_motor'!$C$586:$C$665&gt;'_motor'!$C$586))+(SUMPRODUCT('_motor'!$B$586:$B$665*('_motor'!$C$586:$C$665='_motor'!$C$586))+1)/2)</f>
        <v/>
      </c>
      <c r="H6" s="22">
        <f>IF('_motor'!$B$586=0,"",SUMPRODUCT('_motor'!$B$586:$B$665*('_motor'!$D$586:$D$665&gt;'_motor'!$D$586))+(SUMPRODUCT('_motor'!$B$586:$B$665*('_motor'!$D$586:$D$665='_motor'!$D$586))+1)/2)</f>
        <v/>
      </c>
      <c r="I6" s="19">
        <f>IF('_motor'!$B$586=0,"",IF(AND(ABS('_motor'!$C$586-'_motor'!$B$668)&lt;='_motor'!$B$676+0.000000001,ABS('_motor'!$D$586-'_motor'!$B$668)&lt;='_motor'!$B$676+0.000000001),"5 · Pelotón (no concluyente)",IF(AND('_motor'!$C$586&gt;='_motor'!$B$668,'_motor'!$D$586&lt;'_motor'!$B$668),"1 · Entrada / determinante",IF(AND('_motor'!$C$586&gt;='_motor'!$B$668,'_motor'!$D$586&gt;='_motor'!$B$668),"2 · Intermedia / de enlace",IF(AND('_motor'!$C$586&lt;'_motor'!$B$668,'_motor'!$D$586&gt;='_motor'!$B$668),"3 · Resultado","4 · Excluida / autónoma")))))</f>
        <v/>
      </c>
      <c r="J6" s="19">
        <f>IF('_motor'!$B$586=0,"",IF(AND(ABS('_motor'!$C$586-'_motor'!$B$668)&lt;='_motor'!$B$676+0.000000001,ABS('_motor'!$D$586-'_motor'!$B$668)&lt;='_motor'!$B$676+0.000000001),"Reguladora",IF(AND('_motor'!$C$586&gt;='_motor'!$B$668,'_motor'!$D$586&lt;0.5*'_motor'!$B$668),"Determinante / entorno",IF(AND('_motor'!$C$586&gt;='_motor'!$B$668,'_motor'!$D$586&lt;'_motor'!$B$668),"Palanca secundaria",IF(AND('_motor'!$C$586&gt;='_motor'!$B$668,'_motor'!$D$586&gt;='_motor'!$B$668),"Clave / de enlace",IF(AND('_motor'!$D$586&gt;='_motor'!$B$668,'_motor'!$C$586&gt;=0.5*'_motor'!$B$668),"Objetivo",IF('_motor'!$D$586&gt;='_motor'!$B$668,"Resultado","Autónoma")))))))</f>
        <v/>
      </c>
    </row>
    <row r="7" spans="1:10" x14ac:dyDescent="0.2">
      <c r="A7" s="21">
        <f>IF('_motor'!$B$587=0,"",'02 · Variables'!$B$8)</f>
        <v/>
      </c>
      <c r="B7" s="19">
        <f>IF('_motor'!$B$587=0,"",'02 · Variables'!$C$8)</f>
        <v/>
      </c>
      <c r="C7" s="38">
        <f>IF('_motor'!$B$587=0,"",'_motor'!$C$587)</f>
        <v/>
      </c>
      <c r="D7" s="38">
        <f>IF('_motor'!$B$587=0,"",'_motor'!$D$587)</f>
        <v/>
      </c>
      <c r="E7" s="33">
        <f>IF(OR('_motor'!$B$587=0,'_motor'!$B$672=0),"",'_motor'!$C$587/'_motor'!$B$672)</f>
        <v/>
      </c>
      <c r="F7" s="33">
        <f>IF(OR('_motor'!$B$587=0,'_motor'!$B$672=0),"",'_motor'!$D$587/'_motor'!$B$672)</f>
        <v/>
      </c>
      <c r="G7" s="22">
        <f>IF('_motor'!$B$587=0,"",SUMPRODUCT('_motor'!$B$586:$B$665*('_motor'!$C$586:$C$665&gt;'_motor'!$C$587))+(SUMPRODUCT('_motor'!$B$586:$B$665*('_motor'!$C$586:$C$665='_motor'!$C$587))+1)/2)</f>
        <v/>
      </c>
      <c r="H7" s="22">
        <f>IF('_motor'!$B$587=0,"",SUMPRODUCT('_motor'!$B$586:$B$665*('_motor'!$D$586:$D$665&gt;'_motor'!$D$587))+(SUMPRODUCT('_motor'!$B$586:$B$665*('_motor'!$D$586:$D$665='_motor'!$D$587))+1)/2)</f>
        <v/>
      </c>
      <c r="I7" s="19">
        <f>IF('_motor'!$B$587=0,"",IF(AND(ABS('_motor'!$C$587-'_motor'!$B$668)&lt;='_motor'!$B$676+0.000000001,ABS('_motor'!$D$587-'_motor'!$B$668)&lt;='_motor'!$B$676+0.000000001),"5 · Pelotón (no concluyente)",IF(AND('_motor'!$C$587&gt;='_motor'!$B$668,'_motor'!$D$587&lt;'_motor'!$B$668),"1 · Entrada / determinante",IF(AND('_motor'!$C$587&gt;='_motor'!$B$668,'_motor'!$D$587&gt;='_motor'!$B$668),"2 · Intermedia / de enlace",IF(AND('_motor'!$C$587&lt;'_motor'!$B$668,'_motor'!$D$587&gt;='_motor'!$B$668),"3 · Resultado","4 · Excluida / autónoma")))))</f>
        <v/>
      </c>
      <c r="J7" s="19">
        <f>IF('_motor'!$B$587=0,"",IF(AND(ABS('_motor'!$C$587-'_motor'!$B$668)&lt;='_motor'!$B$676+0.000000001,ABS('_motor'!$D$587-'_motor'!$B$668)&lt;='_motor'!$B$676+0.000000001),"Reguladora",IF(AND('_motor'!$C$587&gt;='_motor'!$B$668,'_motor'!$D$587&lt;0.5*'_motor'!$B$668),"Determinante / entorno",IF(AND('_motor'!$C$587&gt;='_motor'!$B$668,'_motor'!$D$587&lt;'_motor'!$B$668),"Palanca secundaria",IF(AND('_motor'!$C$587&gt;='_motor'!$B$668,'_motor'!$D$587&gt;='_motor'!$B$668),"Clave / de enlace",IF(AND('_motor'!$D$587&gt;='_motor'!$B$668,'_motor'!$C$587&gt;=0.5*'_motor'!$B$668),"Objetivo",IF('_motor'!$D$587&gt;='_motor'!$B$668,"Resultado","Autónoma")))))))</f>
        <v/>
      </c>
    </row>
    <row r="8" spans="1:10" x14ac:dyDescent="0.2">
      <c r="A8" s="21">
        <f>IF('_motor'!$B$588=0,"",'02 · Variables'!$B$9)</f>
        <v/>
      </c>
      <c r="B8" s="19">
        <f>IF('_motor'!$B$588=0,"",'02 · Variables'!$C$9)</f>
        <v/>
      </c>
      <c r="C8" s="38">
        <f>IF('_motor'!$B$588=0,"",'_motor'!$C$588)</f>
        <v/>
      </c>
      <c r="D8" s="38">
        <f>IF('_motor'!$B$588=0,"",'_motor'!$D$588)</f>
        <v/>
      </c>
      <c r="E8" s="33">
        <f>IF(OR('_motor'!$B$588=0,'_motor'!$B$672=0),"",'_motor'!$C$588/'_motor'!$B$672)</f>
        <v/>
      </c>
      <c r="F8" s="33">
        <f>IF(OR('_motor'!$B$588=0,'_motor'!$B$672=0),"",'_motor'!$D$588/'_motor'!$B$672)</f>
        <v/>
      </c>
      <c r="G8" s="22">
        <f>IF('_motor'!$B$588=0,"",SUMPRODUCT('_motor'!$B$586:$B$665*('_motor'!$C$586:$C$665&gt;'_motor'!$C$588))+(SUMPRODUCT('_motor'!$B$586:$B$665*('_motor'!$C$586:$C$665='_motor'!$C$588))+1)/2)</f>
        <v/>
      </c>
      <c r="H8" s="22">
        <f>IF('_motor'!$B$588=0,"",SUMPRODUCT('_motor'!$B$586:$B$665*('_motor'!$D$586:$D$665&gt;'_motor'!$D$588))+(SUMPRODUCT('_motor'!$B$586:$B$665*('_motor'!$D$586:$D$665='_motor'!$D$588))+1)/2)</f>
        <v/>
      </c>
      <c r="I8" s="19">
        <f>IF('_motor'!$B$588=0,"",IF(AND(ABS('_motor'!$C$588-'_motor'!$B$668)&lt;='_motor'!$B$676+0.000000001,ABS('_motor'!$D$588-'_motor'!$B$668)&lt;='_motor'!$B$676+0.000000001),"5 · Pelotón (no concluyente)",IF(AND('_motor'!$C$588&gt;='_motor'!$B$668,'_motor'!$D$588&lt;'_motor'!$B$668),"1 · Entrada / determinante",IF(AND('_motor'!$C$588&gt;='_motor'!$B$668,'_motor'!$D$588&gt;='_motor'!$B$668),"2 · Intermedia / de enlace",IF(AND('_motor'!$C$588&lt;'_motor'!$B$668,'_motor'!$D$588&gt;='_motor'!$B$668),"3 · Resultado","4 · Excluida / autónoma")))))</f>
        <v/>
      </c>
      <c r="J8" s="19">
        <f>IF('_motor'!$B$588=0,"",IF(AND(ABS('_motor'!$C$588-'_motor'!$B$668)&lt;='_motor'!$B$676+0.000000001,ABS('_motor'!$D$588-'_motor'!$B$668)&lt;='_motor'!$B$676+0.000000001),"Reguladora",IF(AND('_motor'!$C$588&gt;='_motor'!$B$668,'_motor'!$D$588&lt;0.5*'_motor'!$B$668),"Determinante / entorno",IF(AND('_motor'!$C$588&gt;='_motor'!$B$668,'_motor'!$D$588&lt;'_motor'!$B$668),"Palanca secundaria",IF(AND('_motor'!$C$588&gt;='_motor'!$B$668,'_motor'!$D$588&gt;='_motor'!$B$668),"Clave / de enlace",IF(AND('_motor'!$D$588&gt;='_motor'!$B$668,'_motor'!$C$588&gt;=0.5*'_motor'!$B$668),"Objetivo",IF('_motor'!$D$588&gt;='_motor'!$B$668,"Resultado","Autónoma")))))))</f>
        <v/>
      </c>
    </row>
    <row r="9" spans="1:10" x14ac:dyDescent="0.2">
      <c r="A9" s="21">
        <f>IF('_motor'!$B$589=0,"",'02 · Variables'!$B$10)</f>
        <v/>
      </c>
      <c r="B9" s="19">
        <f>IF('_motor'!$B$589=0,"",'02 · Variables'!$C$10)</f>
        <v/>
      </c>
      <c r="C9" s="38">
        <f>IF('_motor'!$B$589=0,"",'_motor'!$C$589)</f>
        <v/>
      </c>
      <c r="D9" s="38">
        <f>IF('_motor'!$B$589=0,"",'_motor'!$D$589)</f>
        <v/>
      </c>
      <c r="E9" s="33">
        <f>IF(OR('_motor'!$B$589=0,'_motor'!$B$672=0),"",'_motor'!$C$589/'_motor'!$B$672)</f>
        <v/>
      </c>
      <c r="F9" s="33">
        <f>IF(OR('_motor'!$B$589=0,'_motor'!$B$672=0),"",'_motor'!$D$589/'_motor'!$B$672)</f>
        <v/>
      </c>
      <c r="G9" s="22">
        <f>IF('_motor'!$B$589=0,"",SUMPRODUCT('_motor'!$B$586:$B$665*('_motor'!$C$586:$C$665&gt;'_motor'!$C$589))+(SUMPRODUCT('_motor'!$B$586:$B$665*('_motor'!$C$586:$C$665='_motor'!$C$589))+1)/2)</f>
        <v/>
      </c>
      <c r="H9" s="22">
        <f>IF('_motor'!$B$589=0,"",SUMPRODUCT('_motor'!$B$586:$B$665*('_motor'!$D$586:$D$665&gt;'_motor'!$D$589))+(SUMPRODUCT('_motor'!$B$586:$B$665*('_motor'!$D$586:$D$665='_motor'!$D$589))+1)/2)</f>
        <v/>
      </c>
      <c r="I9" s="19">
        <f>IF('_motor'!$B$589=0,"",IF(AND(ABS('_motor'!$C$589-'_motor'!$B$668)&lt;='_motor'!$B$676+0.000000001,ABS('_motor'!$D$589-'_motor'!$B$668)&lt;='_motor'!$B$676+0.000000001),"5 · Pelotón (no concluyente)",IF(AND('_motor'!$C$589&gt;='_motor'!$B$668,'_motor'!$D$589&lt;'_motor'!$B$668),"1 · Entrada / determinante",IF(AND('_motor'!$C$589&gt;='_motor'!$B$668,'_motor'!$D$589&gt;='_motor'!$B$668),"2 · Intermedia / de enlace",IF(AND('_motor'!$C$589&lt;'_motor'!$B$668,'_motor'!$D$589&gt;='_motor'!$B$668),"3 · Resultado","4 · Excluida / autónoma")))))</f>
        <v/>
      </c>
      <c r="J9" s="19">
        <f>IF('_motor'!$B$589=0,"",IF(AND(ABS('_motor'!$C$589-'_motor'!$B$668)&lt;='_motor'!$B$676+0.000000001,ABS('_motor'!$D$589-'_motor'!$B$668)&lt;='_motor'!$B$676+0.000000001),"Reguladora",IF(AND('_motor'!$C$589&gt;='_motor'!$B$668,'_motor'!$D$589&lt;0.5*'_motor'!$B$668),"Determinante / entorno",IF(AND('_motor'!$C$589&gt;='_motor'!$B$668,'_motor'!$D$589&lt;'_motor'!$B$668),"Palanca secundaria",IF(AND('_motor'!$C$589&gt;='_motor'!$B$668,'_motor'!$D$589&gt;='_motor'!$B$668),"Clave / de enlace",IF(AND('_motor'!$D$589&gt;='_motor'!$B$668,'_motor'!$C$589&gt;=0.5*'_motor'!$B$668),"Objetivo",IF('_motor'!$D$589&gt;='_motor'!$B$668,"Resultado","Autónoma")))))))</f>
        <v/>
      </c>
    </row>
    <row r="10" spans="1:10" x14ac:dyDescent="0.2">
      <c r="A10" s="21">
        <f>IF('_motor'!$B$590=0,"",'02 · Variables'!$B$11)</f>
        <v/>
      </c>
      <c r="B10" s="19">
        <f>IF('_motor'!$B$590=0,"",'02 · Variables'!$C$11)</f>
        <v/>
      </c>
      <c r="C10" s="38">
        <f>IF('_motor'!$B$590=0,"",'_motor'!$C$590)</f>
        <v/>
      </c>
      <c r="D10" s="38">
        <f>IF('_motor'!$B$590=0,"",'_motor'!$D$590)</f>
        <v/>
      </c>
      <c r="E10" s="33">
        <f>IF(OR('_motor'!$B$590=0,'_motor'!$B$672=0),"",'_motor'!$C$590/'_motor'!$B$672)</f>
        <v/>
      </c>
      <c r="F10" s="33">
        <f>IF(OR('_motor'!$B$590=0,'_motor'!$B$672=0),"",'_motor'!$D$590/'_motor'!$B$672)</f>
        <v/>
      </c>
      <c r="G10" s="22">
        <f>IF('_motor'!$B$590=0,"",SUMPRODUCT('_motor'!$B$586:$B$665*('_motor'!$C$586:$C$665&gt;'_motor'!$C$590))+(SUMPRODUCT('_motor'!$B$586:$B$665*('_motor'!$C$586:$C$665='_motor'!$C$590))+1)/2)</f>
        <v/>
      </c>
      <c r="H10" s="22">
        <f>IF('_motor'!$B$590=0,"",SUMPRODUCT('_motor'!$B$586:$B$665*('_motor'!$D$586:$D$665&gt;'_motor'!$D$590))+(SUMPRODUCT('_motor'!$B$586:$B$665*('_motor'!$D$586:$D$665='_motor'!$D$590))+1)/2)</f>
        <v/>
      </c>
      <c r="I10" s="19">
        <f>IF('_motor'!$B$590=0,"",IF(AND(ABS('_motor'!$C$590-'_motor'!$B$668)&lt;='_motor'!$B$676+0.000000001,ABS('_motor'!$D$590-'_motor'!$B$668)&lt;='_motor'!$B$676+0.000000001),"5 · Pelotón (no concluyente)",IF(AND('_motor'!$C$590&gt;='_motor'!$B$668,'_motor'!$D$590&lt;'_motor'!$B$668),"1 · Entrada / determinante",IF(AND('_motor'!$C$590&gt;='_motor'!$B$668,'_motor'!$D$590&gt;='_motor'!$B$668),"2 · Intermedia / de enlace",IF(AND('_motor'!$C$590&lt;'_motor'!$B$668,'_motor'!$D$590&gt;='_motor'!$B$668),"3 · Resultado","4 · Excluida / autónoma")))))</f>
        <v/>
      </c>
      <c r="J10" s="19">
        <f>IF('_motor'!$B$590=0,"",IF(AND(ABS('_motor'!$C$590-'_motor'!$B$668)&lt;='_motor'!$B$676+0.000000001,ABS('_motor'!$D$590-'_motor'!$B$668)&lt;='_motor'!$B$676+0.000000001),"Reguladora",IF(AND('_motor'!$C$590&gt;='_motor'!$B$668,'_motor'!$D$590&lt;0.5*'_motor'!$B$668),"Determinante / entorno",IF(AND('_motor'!$C$590&gt;='_motor'!$B$668,'_motor'!$D$590&lt;'_motor'!$B$668),"Palanca secundaria",IF(AND('_motor'!$C$590&gt;='_motor'!$B$668,'_motor'!$D$590&gt;='_motor'!$B$668),"Clave / de enlace",IF(AND('_motor'!$D$590&gt;='_motor'!$B$668,'_motor'!$C$590&gt;=0.5*'_motor'!$B$668),"Objetivo",IF('_motor'!$D$590&gt;='_motor'!$B$668,"Resultado","Autónoma")))))))</f>
        <v/>
      </c>
    </row>
    <row r="11" spans="1:10" x14ac:dyDescent="0.2">
      <c r="A11" s="21">
        <f>IF('_motor'!$B$591=0,"",'02 · Variables'!$B$12)</f>
        <v/>
      </c>
      <c r="B11" s="19">
        <f>IF('_motor'!$B$591=0,"",'02 · Variables'!$C$12)</f>
        <v/>
      </c>
      <c r="C11" s="38">
        <f>IF('_motor'!$B$591=0,"",'_motor'!$C$591)</f>
        <v/>
      </c>
      <c r="D11" s="38">
        <f>IF('_motor'!$B$591=0,"",'_motor'!$D$591)</f>
        <v/>
      </c>
      <c r="E11" s="33">
        <f>IF(OR('_motor'!$B$591=0,'_motor'!$B$672=0),"",'_motor'!$C$591/'_motor'!$B$672)</f>
        <v/>
      </c>
      <c r="F11" s="33">
        <f>IF(OR('_motor'!$B$591=0,'_motor'!$B$672=0),"",'_motor'!$D$591/'_motor'!$B$672)</f>
        <v/>
      </c>
      <c r="G11" s="22">
        <f>IF('_motor'!$B$591=0,"",SUMPRODUCT('_motor'!$B$586:$B$665*('_motor'!$C$586:$C$665&gt;'_motor'!$C$591))+(SUMPRODUCT('_motor'!$B$586:$B$665*('_motor'!$C$586:$C$665='_motor'!$C$591))+1)/2)</f>
        <v/>
      </c>
      <c r="H11" s="22">
        <f>IF('_motor'!$B$591=0,"",SUMPRODUCT('_motor'!$B$586:$B$665*('_motor'!$D$586:$D$665&gt;'_motor'!$D$591))+(SUMPRODUCT('_motor'!$B$586:$B$665*('_motor'!$D$586:$D$665='_motor'!$D$591))+1)/2)</f>
        <v/>
      </c>
      <c r="I11" s="19">
        <f>IF('_motor'!$B$591=0,"",IF(AND(ABS('_motor'!$C$591-'_motor'!$B$668)&lt;='_motor'!$B$676+0.000000001,ABS('_motor'!$D$591-'_motor'!$B$668)&lt;='_motor'!$B$676+0.000000001),"5 · Pelotón (no concluyente)",IF(AND('_motor'!$C$591&gt;='_motor'!$B$668,'_motor'!$D$591&lt;'_motor'!$B$668),"1 · Entrada / determinante",IF(AND('_motor'!$C$591&gt;='_motor'!$B$668,'_motor'!$D$591&gt;='_motor'!$B$668),"2 · Intermedia / de enlace",IF(AND('_motor'!$C$591&lt;'_motor'!$B$668,'_motor'!$D$591&gt;='_motor'!$B$668),"3 · Resultado","4 · Excluida / autónoma")))))</f>
        <v/>
      </c>
      <c r="J11" s="19">
        <f>IF('_motor'!$B$591=0,"",IF(AND(ABS('_motor'!$C$591-'_motor'!$B$668)&lt;='_motor'!$B$676+0.000000001,ABS('_motor'!$D$591-'_motor'!$B$668)&lt;='_motor'!$B$676+0.000000001),"Reguladora",IF(AND('_motor'!$C$591&gt;='_motor'!$B$668,'_motor'!$D$591&lt;0.5*'_motor'!$B$668),"Determinante / entorno",IF(AND('_motor'!$C$591&gt;='_motor'!$B$668,'_motor'!$D$591&lt;'_motor'!$B$668),"Palanca secundaria",IF(AND('_motor'!$C$591&gt;='_motor'!$B$668,'_motor'!$D$591&gt;='_motor'!$B$668),"Clave / de enlace",IF(AND('_motor'!$D$591&gt;='_motor'!$B$668,'_motor'!$C$591&gt;=0.5*'_motor'!$B$668),"Objetivo",IF('_motor'!$D$591&gt;='_motor'!$B$668,"Resultado","Autónoma")))))))</f>
        <v/>
      </c>
    </row>
    <row r="12" spans="1:10" x14ac:dyDescent="0.2">
      <c r="A12" s="21">
        <f>IF('_motor'!$B$592=0,"",'02 · Variables'!$B$13)</f>
        <v/>
      </c>
      <c r="B12" s="19">
        <f>IF('_motor'!$B$592=0,"",'02 · Variables'!$C$13)</f>
        <v/>
      </c>
      <c r="C12" s="38">
        <f>IF('_motor'!$B$592=0,"",'_motor'!$C$592)</f>
        <v/>
      </c>
      <c r="D12" s="38">
        <f>IF('_motor'!$B$592=0,"",'_motor'!$D$592)</f>
        <v/>
      </c>
      <c r="E12" s="33">
        <f>IF(OR('_motor'!$B$592=0,'_motor'!$B$672=0),"",'_motor'!$C$592/'_motor'!$B$672)</f>
        <v/>
      </c>
      <c r="F12" s="33">
        <f>IF(OR('_motor'!$B$592=0,'_motor'!$B$672=0),"",'_motor'!$D$592/'_motor'!$B$672)</f>
        <v/>
      </c>
      <c r="G12" s="22">
        <f>IF('_motor'!$B$592=0,"",SUMPRODUCT('_motor'!$B$586:$B$665*('_motor'!$C$586:$C$665&gt;'_motor'!$C$592))+(SUMPRODUCT('_motor'!$B$586:$B$665*('_motor'!$C$586:$C$665='_motor'!$C$592))+1)/2)</f>
        <v/>
      </c>
      <c r="H12" s="22">
        <f>IF('_motor'!$B$592=0,"",SUMPRODUCT('_motor'!$B$586:$B$665*('_motor'!$D$586:$D$665&gt;'_motor'!$D$592))+(SUMPRODUCT('_motor'!$B$586:$B$665*('_motor'!$D$586:$D$665='_motor'!$D$592))+1)/2)</f>
        <v/>
      </c>
      <c r="I12" s="19">
        <f>IF('_motor'!$B$592=0,"",IF(AND(ABS('_motor'!$C$592-'_motor'!$B$668)&lt;='_motor'!$B$676+0.000000001,ABS('_motor'!$D$592-'_motor'!$B$668)&lt;='_motor'!$B$676+0.000000001),"5 · Pelotón (no concluyente)",IF(AND('_motor'!$C$592&gt;='_motor'!$B$668,'_motor'!$D$592&lt;'_motor'!$B$668),"1 · Entrada / determinante",IF(AND('_motor'!$C$592&gt;='_motor'!$B$668,'_motor'!$D$592&gt;='_motor'!$B$668),"2 · Intermedia / de enlace",IF(AND('_motor'!$C$592&lt;'_motor'!$B$668,'_motor'!$D$592&gt;='_motor'!$B$668),"3 · Resultado","4 · Excluida / autónoma")))))</f>
        <v/>
      </c>
      <c r="J12" s="19">
        <f>IF('_motor'!$B$592=0,"",IF(AND(ABS('_motor'!$C$592-'_motor'!$B$668)&lt;='_motor'!$B$676+0.000000001,ABS('_motor'!$D$592-'_motor'!$B$668)&lt;='_motor'!$B$676+0.000000001),"Reguladora",IF(AND('_motor'!$C$592&gt;='_motor'!$B$668,'_motor'!$D$592&lt;0.5*'_motor'!$B$668),"Determinante / entorno",IF(AND('_motor'!$C$592&gt;='_motor'!$B$668,'_motor'!$D$592&lt;'_motor'!$B$668),"Palanca secundaria",IF(AND('_motor'!$C$592&gt;='_motor'!$B$668,'_motor'!$D$592&gt;='_motor'!$B$668),"Clave / de enlace",IF(AND('_motor'!$D$592&gt;='_motor'!$B$668,'_motor'!$C$592&gt;=0.5*'_motor'!$B$668),"Objetivo",IF('_motor'!$D$592&gt;='_motor'!$B$668,"Resultado","Autónoma")))))))</f>
        <v/>
      </c>
    </row>
    <row r="13" spans="1:10" x14ac:dyDescent="0.2">
      <c r="A13" s="21">
        <f>IF('_motor'!$B$593=0,"",'02 · Variables'!$B$14)</f>
        <v/>
      </c>
      <c r="B13" s="19">
        <f>IF('_motor'!$B$593=0,"",'02 · Variables'!$C$14)</f>
        <v/>
      </c>
      <c r="C13" s="38">
        <f>IF('_motor'!$B$593=0,"",'_motor'!$C$593)</f>
        <v/>
      </c>
      <c r="D13" s="38">
        <f>IF('_motor'!$B$593=0,"",'_motor'!$D$593)</f>
        <v/>
      </c>
      <c r="E13" s="33">
        <f>IF(OR('_motor'!$B$593=0,'_motor'!$B$672=0),"",'_motor'!$C$593/'_motor'!$B$672)</f>
        <v/>
      </c>
      <c r="F13" s="33">
        <f>IF(OR('_motor'!$B$593=0,'_motor'!$B$672=0),"",'_motor'!$D$593/'_motor'!$B$672)</f>
        <v/>
      </c>
      <c r="G13" s="22">
        <f>IF('_motor'!$B$593=0,"",SUMPRODUCT('_motor'!$B$586:$B$665*('_motor'!$C$586:$C$665&gt;'_motor'!$C$593))+(SUMPRODUCT('_motor'!$B$586:$B$665*('_motor'!$C$586:$C$665='_motor'!$C$593))+1)/2)</f>
        <v/>
      </c>
      <c r="H13" s="22">
        <f>IF('_motor'!$B$593=0,"",SUMPRODUCT('_motor'!$B$586:$B$665*('_motor'!$D$586:$D$665&gt;'_motor'!$D$593))+(SUMPRODUCT('_motor'!$B$586:$B$665*('_motor'!$D$586:$D$665='_motor'!$D$593))+1)/2)</f>
        <v/>
      </c>
      <c r="I13" s="19">
        <f>IF('_motor'!$B$593=0,"",IF(AND(ABS('_motor'!$C$593-'_motor'!$B$668)&lt;='_motor'!$B$676+0.000000001,ABS('_motor'!$D$593-'_motor'!$B$668)&lt;='_motor'!$B$676+0.000000001),"5 · Pelotón (no concluyente)",IF(AND('_motor'!$C$593&gt;='_motor'!$B$668,'_motor'!$D$593&lt;'_motor'!$B$668),"1 · Entrada / determinante",IF(AND('_motor'!$C$593&gt;='_motor'!$B$668,'_motor'!$D$593&gt;='_motor'!$B$668),"2 · Intermedia / de enlace",IF(AND('_motor'!$C$593&lt;'_motor'!$B$668,'_motor'!$D$593&gt;='_motor'!$B$668),"3 · Resultado","4 · Excluida / autónoma")))))</f>
        <v/>
      </c>
      <c r="J13" s="19">
        <f>IF('_motor'!$B$593=0,"",IF(AND(ABS('_motor'!$C$593-'_motor'!$B$668)&lt;='_motor'!$B$676+0.000000001,ABS('_motor'!$D$593-'_motor'!$B$668)&lt;='_motor'!$B$676+0.000000001),"Reguladora",IF(AND('_motor'!$C$593&gt;='_motor'!$B$668,'_motor'!$D$593&lt;0.5*'_motor'!$B$668),"Determinante / entorno",IF(AND('_motor'!$C$593&gt;='_motor'!$B$668,'_motor'!$D$593&lt;'_motor'!$B$668),"Palanca secundaria",IF(AND('_motor'!$C$593&gt;='_motor'!$B$668,'_motor'!$D$593&gt;='_motor'!$B$668),"Clave / de enlace",IF(AND('_motor'!$D$593&gt;='_motor'!$B$668,'_motor'!$C$593&gt;=0.5*'_motor'!$B$668),"Objetivo",IF('_motor'!$D$593&gt;='_motor'!$B$668,"Resultado","Autónoma")))))))</f>
        <v/>
      </c>
    </row>
    <row r="14" spans="1:10" x14ac:dyDescent="0.2">
      <c r="A14" s="21">
        <f>IF('_motor'!$B$594=0,"",'02 · Variables'!$B$15)</f>
        <v/>
      </c>
      <c r="B14" s="19">
        <f>IF('_motor'!$B$594=0,"",'02 · Variables'!$C$15)</f>
        <v/>
      </c>
      <c r="C14" s="38">
        <f>IF('_motor'!$B$594=0,"",'_motor'!$C$594)</f>
        <v/>
      </c>
      <c r="D14" s="38">
        <f>IF('_motor'!$B$594=0,"",'_motor'!$D$594)</f>
        <v/>
      </c>
      <c r="E14" s="33">
        <f>IF(OR('_motor'!$B$594=0,'_motor'!$B$672=0),"",'_motor'!$C$594/'_motor'!$B$672)</f>
        <v/>
      </c>
      <c r="F14" s="33">
        <f>IF(OR('_motor'!$B$594=0,'_motor'!$B$672=0),"",'_motor'!$D$594/'_motor'!$B$672)</f>
        <v/>
      </c>
      <c r="G14" s="22">
        <f>IF('_motor'!$B$594=0,"",SUMPRODUCT('_motor'!$B$586:$B$665*('_motor'!$C$586:$C$665&gt;'_motor'!$C$594))+(SUMPRODUCT('_motor'!$B$586:$B$665*('_motor'!$C$586:$C$665='_motor'!$C$594))+1)/2)</f>
        <v/>
      </c>
      <c r="H14" s="22">
        <f>IF('_motor'!$B$594=0,"",SUMPRODUCT('_motor'!$B$586:$B$665*('_motor'!$D$586:$D$665&gt;'_motor'!$D$594))+(SUMPRODUCT('_motor'!$B$586:$B$665*('_motor'!$D$586:$D$665='_motor'!$D$594))+1)/2)</f>
        <v/>
      </c>
      <c r="I14" s="19">
        <f>IF('_motor'!$B$594=0,"",IF(AND(ABS('_motor'!$C$594-'_motor'!$B$668)&lt;='_motor'!$B$676+0.000000001,ABS('_motor'!$D$594-'_motor'!$B$668)&lt;='_motor'!$B$676+0.000000001),"5 · Pelotón (no concluyente)",IF(AND('_motor'!$C$594&gt;='_motor'!$B$668,'_motor'!$D$594&lt;'_motor'!$B$668),"1 · Entrada / determinante",IF(AND('_motor'!$C$594&gt;='_motor'!$B$668,'_motor'!$D$594&gt;='_motor'!$B$668),"2 · Intermedia / de enlace",IF(AND('_motor'!$C$594&lt;'_motor'!$B$668,'_motor'!$D$594&gt;='_motor'!$B$668),"3 · Resultado","4 · Excluida / autónoma")))))</f>
        <v/>
      </c>
      <c r="J14" s="19">
        <f>IF('_motor'!$B$594=0,"",IF(AND(ABS('_motor'!$C$594-'_motor'!$B$668)&lt;='_motor'!$B$676+0.000000001,ABS('_motor'!$D$594-'_motor'!$B$668)&lt;='_motor'!$B$676+0.000000001),"Reguladora",IF(AND('_motor'!$C$594&gt;='_motor'!$B$668,'_motor'!$D$594&lt;0.5*'_motor'!$B$668),"Determinante / entorno",IF(AND('_motor'!$C$594&gt;='_motor'!$B$668,'_motor'!$D$594&lt;'_motor'!$B$668),"Palanca secundaria",IF(AND('_motor'!$C$594&gt;='_motor'!$B$668,'_motor'!$D$594&gt;='_motor'!$B$668),"Clave / de enlace",IF(AND('_motor'!$D$594&gt;='_motor'!$B$668,'_motor'!$C$594&gt;=0.5*'_motor'!$B$668),"Objetivo",IF('_motor'!$D$594&gt;='_motor'!$B$668,"Resultado","Autónoma")))))))</f>
        <v/>
      </c>
    </row>
    <row r="15" spans="1:10" x14ac:dyDescent="0.2">
      <c r="A15" s="21">
        <f>IF('_motor'!$B$595=0,"",'02 · Variables'!$B$16)</f>
        <v/>
      </c>
      <c r="B15" s="19">
        <f>IF('_motor'!$B$595=0,"",'02 · Variables'!$C$16)</f>
        <v/>
      </c>
      <c r="C15" s="38">
        <f>IF('_motor'!$B$595=0,"",'_motor'!$C$595)</f>
        <v/>
      </c>
      <c r="D15" s="38">
        <f>IF('_motor'!$B$595=0,"",'_motor'!$D$595)</f>
        <v/>
      </c>
      <c r="E15" s="33">
        <f>IF(OR('_motor'!$B$595=0,'_motor'!$B$672=0),"",'_motor'!$C$595/'_motor'!$B$672)</f>
        <v/>
      </c>
      <c r="F15" s="33">
        <f>IF(OR('_motor'!$B$595=0,'_motor'!$B$672=0),"",'_motor'!$D$595/'_motor'!$B$672)</f>
        <v/>
      </c>
      <c r="G15" s="22">
        <f>IF('_motor'!$B$595=0,"",SUMPRODUCT('_motor'!$B$586:$B$665*('_motor'!$C$586:$C$665&gt;'_motor'!$C$595))+(SUMPRODUCT('_motor'!$B$586:$B$665*('_motor'!$C$586:$C$665='_motor'!$C$595))+1)/2)</f>
        <v/>
      </c>
      <c r="H15" s="22">
        <f>IF('_motor'!$B$595=0,"",SUMPRODUCT('_motor'!$B$586:$B$665*('_motor'!$D$586:$D$665&gt;'_motor'!$D$595))+(SUMPRODUCT('_motor'!$B$586:$B$665*('_motor'!$D$586:$D$665='_motor'!$D$595))+1)/2)</f>
        <v/>
      </c>
      <c r="I15" s="19">
        <f>IF('_motor'!$B$595=0,"",IF(AND(ABS('_motor'!$C$595-'_motor'!$B$668)&lt;='_motor'!$B$676+0.000000001,ABS('_motor'!$D$595-'_motor'!$B$668)&lt;='_motor'!$B$676+0.000000001),"5 · Pelotón (no concluyente)",IF(AND('_motor'!$C$595&gt;='_motor'!$B$668,'_motor'!$D$595&lt;'_motor'!$B$668),"1 · Entrada / determinante",IF(AND('_motor'!$C$595&gt;='_motor'!$B$668,'_motor'!$D$595&gt;='_motor'!$B$668),"2 · Intermedia / de enlace",IF(AND('_motor'!$C$595&lt;'_motor'!$B$668,'_motor'!$D$595&gt;='_motor'!$B$668),"3 · Resultado","4 · Excluida / autónoma")))))</f>
        <v/>
      </c>
      <c r="J15" s="19">
        <f>IF('_motor'!$B$595=0,"",IF(AND(ABS('_motor'!$C$595-'_motor'!$B$668)&lt;='_motor'!$B$676+0.000000001,ABS('_motor'!$D$595-'_motor'!$B$668)&lt;='_motor'!$B$676+0.000000001),"Reguladora",IF(AND('_motor'!$C$595&gt;='_motor'!$B$668,'_motor'!$D$595&lt;0.5*'_motor'!$B$668),"Determinante / entorno",IF(AND('_motor'!$C$595&gt;='_motor'!$B$668,'_motor'!$D$595&lt;'_motor'!$B$668),"Palanca secundaria",IF(AND('_motor'!$C$595&gt;='_motor'!$B$668,'_motor'!$D$595&gt;='_motor'!$B$668),"Clave / de enlace",IF(AND('_motor'!$D$595&gt;='_motor'!$B$668,'_motor'!$C$595&gt;=0.5*'_motor'!$B$668),"Objetivo",IF('_motor'!$D$595&gt;='_motor'!$B$668,"Resultado","Autónoma")))))))</f>
        <v/>
      </c>
    </row>
    <row r="16" spans="1:10" x14ac:dyDescent="0.2">
      <c r="A16" s="21">
        <f>IF('_motor'!$B$596=0,"",'02 · Variables'!$B$17)</f>
        <v/>
      </c>
      <c r="B16" s="19">
        <f>IF('_motor'!$B$596=0,"",'02 · Variables'!$C$17)</f>
        <v/>
      </c>
      <c r="C16" s="38">
        <f>IF('_motor'!$B$596=0,"",'_motor'!$C$596)</f>
        <v/>
      </c>
      <c r="D16" s="38">
        <f>IF('_motor'!$B$596=0,"",'_motor'!$D$596)</f>
        <v/>
      </c>
      <c r="E16" s="33">
        <f>IF(OR('_motor'!$B$596=0,'_motor'!$B$672=0),"",'_motor'!$C$596/'_motor'!$B$672)</f>
        <v/>
      </c>
      <c r="F16" s="33">
        <f>IF(OR('_motor'!$B$596=0,'_motor'!$B$672=0),"",'_motor'!$D$596/'_motor'!$B$672)</f>
        <v/>
      </c>
      <c r="G16" s="22">
        <f>IF('_motor'!$B$596=0,"",SUMPRODUCT('_motor'!$B$586:$B$665*('_motor'!$C$586:$C$665&gt;'_motor'!$C$596))+(SUMPRODUCT('_motor'!$B$586:$B$665*('_motor'!$C$586:$C$665='_motor'!$C$596))+1)/2)</f>
        <v/>
      </c>
      <c r="H16" s="22">
        <f>IF('_motor'!$B$596=0,"",SUMPRODUCT('_motor'!$B$586:$B$665*('_motor'!$D$586:$D$665&gt;'_motor'!$D$596))+(SUMPRODUCT('_motor'!$B$586:$B$665*('_motor'!$D$586:$D$665='_motor'!$D$596))+1)/2)</f>
        <v/>
      </c>
      <c r="I16" s="19">
        <f>IF('_motor'!$B$596=0,"",IF(AND(ABS('_motor'!$C$596-'_motor'!$B$668)&lt;='_motor'!$B$676+0.000000001,ABS('_motor'!$D$596-'_motor'!$B$668)&lt;='_motor'!$B$676+0.000000001),"5 · Pelotón (no concluyente)",IF(AND('_motor'!$C$596&gt;='_motor'!$B$668,'_motor'!$D$596&lt;'_motor'!$B$668),"1 · Entrada / determinante",IF(AND('_motor'!$C$596&gt;='_motor'!$B$668,'_motor'!$D$596&gt;='_motor'!$B$668),"2 · Intermedia / de enlace",IF(AND('_motor'!$C$596&lt;'_motor'!$B$668,'_motor'!$D$596&gt;='_motor'!$B$668),"3 · Resultado","4 · Excluida / autónoma")))))</f>
        <v/>
      </c>
      <c r="J16" s="19">
        <f>IF('_motor'!$B$596=0,"",IF(AND(ABS('_motor'!$C$596-'_motor'!$B$668)&lt;='_motor'!$B$676+0.000000001,ABS('_motor'!$D$596-'_motor'!$B$668)&lt;='_motor'!$B$676+0.000000001),"Reguladora",IF(AND('_motor'!$C$596&gt;='_motor'!$B$668,'_motor'!$D$596&lt;0.5*'_motor'!$B$668),"Determinante / entorno",IF(AND('_motor'!$C$596&gt;='_motor'!$B$668,'_motor'!$D$596&lt;'_motor'!$B$668),"Palanca secundaria",IF(AND('_motor'!$C$596&gt;='_motor'!$B$668,'_motor'!$D$596&gt;='_motor'!$B$668),"Clave / de enlace",IF(AND('_motor'!$D$596&gt;='_motor'!$B$668,'_motor'!$C$596&gt;=0.5*'_motor'!$B$668),"Objetivo",IF('_motor'!$D$596&gt;='_motor'!$B$668,"Resultado","Autónoma")))))))</f>
        <v/>
      </c>
    </row>
    <row r="17" spans="1:10" x14ac:dyDescent="0.2">
      <c r="A17" s="21">
        <f>IF('_motor'!$B$597=0,"",'02 · Variables'!$B$18)</f>
        <v/>
      </c>
      <c r="B17" s="19">
        <f>IF('_motor'!$B$597=0,"",'02 · Variables'!$C$18)</f>
        <v/>
      </c>
      <c r="C17" s="38">
        <f>IF('_motor'!$B$597=0,"",'_motor'!$C$597)</f>
        <v/>
      </c>
      <c r="D17" s="38">
        <f>IF('_motor'!$B$597=0,"",'_motor'!$D$597)</f>
        <v/>
      </c>
      <c r="E17" s="33">
        <f>IF(OR('_motor'!$B$597=0,'_motor'!$B$672=0),"",'_motor'!$C$597/'_motor'!$B$672)</f>
        <v/>
      </c>
      <c r="F17" s="33">
        <f>IF(OR('_motor'!$B$597=0,'_motor'!$B$672=0),"",'_motor'!$D$597/'_motor'!$B$672)</f>
        <v/>
      </c>
      <c r="G17" s="22">
        <f>IF('_motor'!$B$597=0,"",SUMPRODUCT('_motor'!$B$586:$B$665*('_motor'!$C$586:$C$665&gt;'_motor'!$C$597))+(SUMPRODUCT('_motor'!$B$586:$B$665*('_motor'!$C$586:$C$665='_motor'!$C$597))+1)/2)</f>
        <v/>
      </c>
      <c r="H17" s="22">
        <f>IF('_motor'!$B$597=0,"",SUMPRODUCT('_motor'!$B$586:$B$665*('_motor'!$D$586:$D$665&gt;'_motor'!$D$597))+(SUMPRODUCT('_motor'!$B$586:$B$665*('_motor'!$D$586:$D$665='_motor'!$D$597))+1)/2)</f>
        <v/>
      </c>
      <c r="I17" s="19">
        <f>IF('_motor'!$B$597=0,"",IF(AND(ABS('_motor'!$C$597-'_motor'!$B$668)&lt;='_motor'!$B$676+0.000000001,ABS('_motor'!$D$597-'_motor'!$B$668)&lt;='_motor'!$B$676+0.000000001),"5 · Pelotón (no concluyente)",IF(AND('_motor'!$C$597&gt;='_motor'!$B$668,'_motor'!$D$597&lt;'_motor'!$B$668),"1 · Entrada / determinante",IF(AND('_motor'!$C$597&gt;='_motor'!$B$668,'_motor'!$D$597&gt;='_motor'!$B$668),"2 · Intermedia / de enlace",IF(AND('_motor'!$C$597&lt;'_motor'!$B$668,'_motor'!$D$597&gt;='_motor'!$B$668),"3 · Resultado","4 · Excluida / autónoma")))))</f>
        <v/>
      </c>
      <c r="J17" s="19">
        <f>IF('_motor'!$B$597=0,"",IF(AND(ABS('_motor'!$C$597-'_motor'!$B$668)&lt;='_motor'!$B$676+0.000000001,ABS('_motor'!$D$597-'_motor'!$B$668)&lt;='_motor'!$B$676+0.000000001),"Reguladora",IF(AND('_motor'!$C$597&gt;='_motor'!$B$668,'_motor'!$D$597&lt;0.5*'_motor'!$B$668),"Determinante / entorno",IF(AND('_motor'!$C$597&gt;='_motor'!$B$668,'_motor'!$D$597&lt;'_motor'!$B$668),"Palanca secundaria",IF(AND('_motor'!$C$597&gt;='_motor'!$B$668,'_motor'!$D$597&gt;='_motor'!$B$668),"Clave / de enlace",IF(AND('_motor'!$D$597&gt;='_motor'!$B$668,'_motor'!$C$597&gt;=0.5*'_motor'!$B$668),"Objetivo",IF('_motor'!$D$597&gt;='_motor'!$B$668,"Resultado","Autónoma")))))))</f>
        <v/>
      </c>
    </row>
    <row r="18" spans="1:10" x14ac:dyDescent="0.2">
      <c r="A18" s="21">
        <f>IF('_motor'!$B$598=0,"",'02 · Variables'!$B$19)</f>
        <v/>
      </c>
      <c r="B18" s="19">
        <f>IF('_motor'!$B$598=0,"",'02 · Variables'!$C$19)</f>
        <v/>
      </c>
      <c r="C18" s="38">
        <f>IF('_motor'!$B$598=0,"",'_motor'!$C$598)</f>
        <v/>
      </c>
      <c r="D18" s="38">
        <f>IF('_motor'!$B$598=0,"",'_motor'!$D$598)</f>
        <v/>
      </c>
      <c r="E18" s="33">
        <f>IF(OR('_motor'!$B$598=0,'_motor'!$B$672=0),"",'_motor'!$C$598/'_motor'!$B$672)</f>
        <v/>
      </c>
      <c r="F18" s="33">
        <f>IF(OR('_motor'!$B$598=0,'_motor'!$B$672=0),"",'_motor'!$D$598/'_motor'!$B$672)</f>
        <v/>
      </c>
      <c r="G18" s="22">
        <f>IF('_motor'!$B$598=0,"",SUMPRODUCT('_motor'!$B$586:$B$665*('_motor'!$C$586:$C$665&gt;'_motor'!$C$598))+(SUMPRODUCT('_motor'!$B$586:$B$665*('_motor'!$C$586:$C$665='_motor'!$C$598))+1)/2)</f>
        <v/>
      </c>
      <c r="H18" s="22">
        <f>IF('_motor'!$B$598=0,"",SUMPRODUCT('_motor'!$B$586:$B$665*('_motor'!$D$586:$D$665&gt;'_motor'!$D$598))+(SUMPRODUCT('_motor'!$B$586:$B$665*('_motor'!$D$586:$D$665='_motor'!$D$598))+1)/2)</f>
        <v/>
      </c>
      <c r="I18" s="19">
        <f>IF('_motor'!$B$598=0,"",IF(AND(ABS('_motor'!$C$598-'_motor'!$B$668)&lt;='_motor'!$B$676+0.000000001,ABS('_motor'!$D$598-'_motor'!$B$668)&lt;='_motor'!$B$676+0.000000001),"5 · Pelotón (no concluyente)",IF(AND('_motor'!$C$598&gt;='_motor'!$B$668,'_motor'!$D$598&lt;'_motor'!$B$668),"1 · Entrada / determinante",IF(AND('_motor'!$C$598&gt;='_motor'!$B$668,'_motor'!$D$598&gt;='_motor'!$B$668),"2 · Intermedia / de enlace",IF(AND('_motor'!$C$598&lt;'_motor'!$B$668,'_motor'!$D$598&gt;='_motor'!$B$668),"3 · Resultado","4 · Excluida / autónoma")))))</f>
        <v/>
      </c>
      <c r="J18" s="19">
        <f>IF('_motor'!$B$598=0,"",IF(AND(ABS('_motor'!$C$598-'_motor'!$B$668)&lt;='_motor'!$B$676+0.000000001,ABS('_motor'!$D$598-'_motor'!$B$668)&lt;='_motor'!$B$676+0.000000001),"Reguladora",IF(AND('_motor'!$C$598&gt;='_motor'!$B$668,'_motor'!$D$598&lt;0.5*'_motor'!$B$668),"Determinante / entorno",IF(AND('_motor'!$C$598&gt;='_motor'!$B$668,'_motor'!$D$598&lt;'_motor'!$B$668),"Palanca secundaria",IF(AND('_motor'!$C$598&gt;='_motor'!$B$668,'_motor'!$D$598&gt;='_motor'!$B$668),"Clave / de enlace",IF(AND('_motor'!$D$598&gt;='_motor'!$B$668,'_motor'!$C$598&gt;=0.5*'_motor'!$B$668),"Objetivo",IF('_motor'!$D$598&gt;='_motor'!$B$668,"Resultado","Autónoma")))))))</f>
        <v/>
      </c>
    </row>
    <row r="19" spans="1:10" x14ac:dyDescent="0.2">
      <c r="A19" s="21">
        <f>IF('_motor'!$B$599=0,"",'02 · Variables'!$B$20)</f>
        <v/>
      </c>
      <c r="B19" s="19">
        <f>IF('_motor'!$B$599=0,"",'02 · Variables'!$C$20)</f>
        <v/>
      </c>
      <c r="C19" s="38">
        <f>IF('_motor'!$B$599=0,"",'_motor'!$C$599)</f>
        <v/>
      </c>
      <c r="D19" s="38">
        <f>IF('_motor'!$B$599=0,"",'_motor'!$D$599)</f>
        <v/>
      </c>
      <c r="E19" s="33">
        <f>IF(OR('_motor'!$B$599=0,'_motor'!$B$672=0),"",'_motor'!$C$599/'_motor'!$B$672)</f>
        <v/>
      </c>
      <c r="F19" s="33">
        <f>IF(OR('_motor'!$B$599=0,'_motor'!$B$672=0),"",'_motor'!$D$599/'_motor'!$B$672)</f>
        <v/>
      </c>
      <c r="G19" s="22">
        <f>IF('_motor'!$B$599=0,"",SUMPRODUCT('_motor'!$B$586:$B$665*('_motor'!$C$586:$C$665&gt;'_motor'!$C$599))+(SUMPRODUCT('_motor'!$B$586:$B$665*('_motor'!$C$586:$C$665='_motor'!$C$599))+1)/2)</f>
        <v/>
      </c>
      <c r="H19" s="22">
        <f>IF('_motor'!$B$599=0,"",SUMPRODUCT('_motor'!$B$586:$B$665*('_motor'!$D$586:$D$665&gt;'_motor'!$D$599))+(SUMPRODUCT('_motor'!$B$586:$B$665*('_motor'!$D$586:$D$665='_motor'!$D$599))+1)/2)</f>
        <v/>
      </c>
      <c r="I19" s="19">
        <f>IF('_motor'!$B$599=0,"",IF(AND(ABS('_motor'!$C$599-'_motor'!$B$668)&lt;='_motor'!$B$676+0.000000001,ABS('_motor'!$D$599-'_motor'!$B$668)&lt;='_motor'!$B$676+0.000000001),"5 · Pelotón (no concluyente)",IF(AND('_motor'!$C$599&gt;='_motor'!$B$668,'_motor'!$D$599&lt;'_motor'!$B$668),"1 · Entrada / determinante",IF(AND('_motor'!$C$599&gt;='_motor'!$B$668,'_motor'!$D$599&gt;='_motor'!$B$668),"2 · Intermedia / de enlace",IF(AND('_motor'!$C$599&lt;'_motor'!$B$668,'_motor'!$D$599&gt;='_motor'!$B$668),"3 · Resultado","4 · Excluida / autónoma")))))</f>
        <v/>
      </c>
      <c r="J19" s="19">
        <f>IF('_motor'!$B$599=0,"",IF(AND(ABS('_motor'!$C$599-'_motor'!$B$668)&lt;='_motor'!$B$676+0.000000001,ABS('_motor'!$D$599-'_motor'!$B$668)&lt;='_motor'!$B$676+0.000000001),"Reguladora",IF(AND('_motor'!$C$599&gt;='_motor'!$B$668,'_motor'!$D$599&lt;0.5*'_motor'!$B$668),"Determinante / entorno",IF(AND('_motor'!$C$599&gt;='_motor'!$B$668,'_motor'!$D$599&lt;'_motor'!$B$668),"Palanca secundaria",IF(AND('_motor'!$C$599&gt;='_motor'!$B$668,'_motor'!$D$599&gt;='_motor'!$B$668),"Clave / de enlace",IF(AND('_motor'!$D$599&gt;='_motor'!$B$668,'_motor'!$C$599&gt;=0.5*'_motor'!$B$668),"Objetivo",IF('_motor'!$D$599&gt;='_motor'!$B$668,"Resultado","Autónoma")))))))</f>
        <v/>
      </c>
    </row>
    <row r="20" spans="1:10" x14ac:dyDescent="0.2">
      <c r="A20" s="21">
        <f>IF('_motor'!$B$600=0,"",'02 · Variables'!$B$21)</f>
        <v/>
      </c>
      <c r="B20" s="19">
        <f>IF('_motor'!$B$600=0,"",'02 · Variables'!$C$21)</f>
        <v/>
      </c>
      <c r="C20" s="38">
        <f>IF('_motor'!$B$600=0,"",'_motor'!$C$600)</f>
        <v/>
      </c>
      <c r="D20" s="38">
        <f>IF('_motor'!$B$600=0,"",'_motor'!$D$600)</f>
        <v/>
      </c>
      <c r="E20" s="33">
        <f>IF(OR('_motor'!$B$600=0,'_motor'!$B$672=0),"",'_motor'!$C$600/'_motor'!$B$672)</f>
        <v/>
      </c>
      <c r="F20" s="33">
        <f>IF(OR('_motor'!$B$600=0,'_motor'!$B$672=0),"",'_motor'!$D$600/'_motor'!$B$672)</f>
        <v/>
      </c>
      <c r="G20" s="22">
        <f>IF('_motor'!$B$600=0,"",SUMPRODUCT('_motor'!$B$586:$B$665*('_motor'!$C$586:$C$665&gt;'_motor'!$C$600))+(SUMPRODUCT('_motor'!$B$586:$B$665*('_motor'!$C$586:$C$665='_motor'!$C$600))+1)/2)</f>
        <v/>
      </c>
      <c r="H20" s="22">
        <f>IF('_motor'!$B$600=0,"",SUMPRODUCT('_motor'!$B$586:$B$665*('_motor'!$D$586:$D$665&gt;'_motor'!$D$600))+(SUMPRODUCT('_motor'!$B$586:$B$665*('_motor'!$D$586:$D$665='_motor'!$D$600))+1)/2)</f>
        <v/>
      </c>
      <c r="I20" s="19">
        <f>IF('_motor'!$B$600=0,"",IF(AND(ABS('_motor'!$C$600-'_motor'!$B$668)&lt;='_motor'!$B$676+0.000000001,ABS('_motor'!$D$600-'_motor'!$B$668)&lt;='_motor'!$B$676+0.000000001),"5 · Pelotón (no concluyente)",IF(AND('_motor'!$C$600&gt;='_motor'!$B$668,'_motor'!$D$600&lt;'_motor'!$B$668),"1 · Entrada / determinante",IF(AND('_motor'!$C$600&gt;='_motor'!$B$668,'_motor'!$D$600&gt;='_motor'!$B$668),"2 · Intermedia / de enlace",IF(AND('_motor'!$C$600&lt;'_motor'!$B$668,'_motor'!$D$600&gt;='_motor'!$B$668),"3 · Resultado","4 · Excluida / autónoma")))))</f>
        <v/>
      </c>
      <c r="J20" s="19">
        <f>IF('_motor'!$B$600=0,"",IF(AND(ABS('_motor'!$C$600-'_motor'!$B$668)&lt;='_motor'!$B$676+0.000000001,ABS('_motor'!$D$600-'_motor'!$B$668)&lt;='_motor'!$B$676+0.000000001),"Reguladora",IF(AND('_motor'!$C$600&gt;='_motor'!$B$668,'_motor'!$D$600&lt;0.5*'_motor'!$B$668),"Determinante / entorno",IF(AND('_motor'!$C$600&gt;='_motor'!$B$668,'_motor'!$D$600&lt;'_motor'!$B$668),"Palanca secundaria",IF(AND('_motor'!$C$600&gt;='_motor'!$B$668,'_motor'!$D$600&gt;='_motor'!$B$668),"Clave / de enlace",IF(AND('_motor'!$D$600&gt;='_motor'!$B$668,'_motor'!$C$600&gt;=0.5*'_motor'!$B$668),"Objetivo",IF('_motor'!$D$600&gt;='_motor'!$B$668,"Resultado","Autónoma")))))))</f>
        <v/>
      </c>
    </row>
    <row r="21" spans="1:10" x14ac:dyDescent="0.2">
      <c r="A21" s="21">
        <f>IF('_motor'!$B$601=0,"",'02 · Variables'!$B$22)</f>
        <v/>
      </c>
      <c r="B21" s="19">
        <f>IF('_motor'!$B$601=0,"",'02 · Variables'!$C$22)</f>
        <v/>
      </c>
      <c r="C21" s="38">
        <f>IF('_motor'!$B$601=0,"",'_motor'!$C$601)</f>
        <v/>
      </c>
      <c r="D21" s="38">
        <f>IF('_motor'!$B$601=0,"",'_motor'!$D$601)</f>
        <v/>
      </c>
      <c r="E21" s="33">
        <f>IF(OR('_motor'!$B$601=0,'_motor'!$B$672=0),"",'_motor'!$C$601/'_motor'!$B$672)</f>
        <v/>
      </c>
      <c r="F21" s="33">
        <f>IF(OR('_motor'!$B$601=0,'_motor'!$B$672=0),"",'_motor'!$D$601/'_motor'!$B$672)</f>
        <v/>
      </c>
      <c r="G21" s="22">
        <f>IF('_motor'!$B$601=0,"",SUMPRODUCT('_motor'!$B$586:$B$665*('_motor'!$C$586:$C$665&gt;'_motor'!$C$601))+(SUMPRODUCT('_motor'!$B$586:$B$665*('_motor'!$C$586:$C$665='_motor'!$C$601))+1)/2)</f>
        <v/>
      </c>
      <c r="H21" s="22">
        <f>IF('_motor'!$B$601=0,"",SUMPRODUCT('_motor'!$B$586:$B$665*('_motor'!$D$586:$D$665&gt;'_motor'!$D$601))+(SUMPRODUCT('_motor'!$B$586:$B$665*('_motor'!$D$586:$D$665='_motor'!$D$601))+1)/2)</f>
        <v/>
      </c>
      <c r="I21" s="19">
        <f>IF('_motor'!$B$601=0,"",IF(AND(ABS('_motor'!$C$601-'_motor'!$B$668)&lt;='_motor'!$B$676+0.000000001,ABS('_motor'!$D$601-'_motor'!$B$668)&lt;='_motor'!$B$676+0.000000001),"5 · Pelotón (no concluyente)",IF(AND('_motor'!$C$601&gt;='_motor'!$B$668,'_motor'!$D$601&lt;'_motor'!$B$668),"1 · Entrada / determinante",IF(AND('_motor'!$C$601&gt;='_motor'!$B$668,'_motor'!$D$601&gt;='_motor'!$B$668),"2 · Intermedia / de enlace",IF(AND('_motor'!$C$601&lt;'_motor'!$B$668,'_motor'!$D$601&gt;='_motor'!$B$668),"3 · Resultado","4 · Excluida / autónoma")))))</f>
        <v/>
      </c>
      <c r="J21" s="19">
        <f>IF('_motor'!$B$601=0,"",IF(AND(ABS('_motor'!$C$601-'_motor'!$B$668)&lt;='_motor'!$B$676+0.000000001,ABS('_motor'!$D$601-'_motor'!$B$668)&lt;='_motor'!$B$676+0.000000001),"Reguladora",IF(AND('_motor'!$C$601&gt;='_motor'!$B$668,'_motor'!$D$601&lt;0.5*'_motor'!$B$668),"Determinante / entorno",IF(AND('_motor'!$C$601&gt;='_motor'!$B$668,'_motor'!$D$601&lt;'_motor'!$B$668),"Palanca secundaria",IF(AND('_motor'!$C$601&gt;='_motor'!$B$668,'_motor'!$D$601&gt;='_motor'!$B$668),"Clave / de enlace",IF(AND('_motor'!$D$601&gt;='_motor'!$B$668,'_motor'!$C$601&gt;=0.5*'_motor'!$B$668),"Objetivo",IF('_motor'!$D$601&gt;='_motor'!$B$668,"Resultado","Autónoma")))))))</f>
        <v/>
      </c>
    </row>
    <row r="22" spans="1:10" x14ac:dyDescent="0.2">
      <c r="A22" s="21">
        <f>IF('_motor'!$B$602=0,"",'02 · Variables'!$B$23)</f>
        <v/>
      </c>
      <c r="B22" s="19">
        <f>IF('_motor'!$B$602=0,"",'02 · Variables'!$C$23)</f>
        <v/>
      </c>
      <c r="C22" s="38">
        <f>IF('_motor'!$B$602=0,"",'_motor'!$C$602)</f>
        <v/>
      </c>
      <c r="D22" s="38">
        <f>IF('_motor'!$B$602=0,"",'_motor'!$D$602)</f>
        <v/>
      </c>
      <c r="E22" s="33">
        <f>IF(OR('_motor'!$B$602=0,'_motor'!$B$672=0),"",'_motor'!$C$602/'_motor'!$B$672)</f>
        <v/>
      </c>
      <c r="F22" s="33">
        <f>IF(OR('_motor'!$B$602=0,'_motor'!$B$672=0),"",'_motor'!$D$602/'_motor'!$B$672)</f>
        <v/>
      </c>
      <c r="G22" s="22">
        <f>IF('_motor'!$B$602=0,"",SUMPRODUCT('_motor'!$B$586:$B$665*('_motor'!$C$586:$C$665&gt;'_motor'!$C$602))+(SUMPRODUCT('_motor'!$B$586:$B$665*('_motor'!$C$586:$C$665='_motor'!$C$602))+1)/2)</f>
        <v/>
      </c>
      <c r="H22" s="22">
        <f>IF('_motor'!$B$602=0,"",SUMPRODUCT('_motor'!$B$586:$B$665*('_motor'!$D$586:$D$665&gt;'_motor'!$D$602))+(SUMPRODUCT('_motor'!$B$586:$B$665*('_motor'!$D$586:$D$665='_motor'!$D$602))+1)/2)</f>
        <v/>
      </c>
      <c r="I22" s="19">
        <f>IF('_motor'!$B$602=0,"",IF(AND(ABS('_motor'!$C$602-'_motor'!$B$668)&lt;='_motor'!$B$676+0.000000001,ABS('_motor'!$D$602-'_motor'!$B$668)&lt;='_motor'!$B$676+0.000000001),"5 · Pelotón (no concluyente)",IF(AND('_motor'!$C$602&gt;='_motor'!$B$668,'_motor'!$D$602&lt;'_motor'!$B$668),"1 · Entrada / determinante",IF(AND('_motor'!$C$602&gt;='_motor'!$B$668,'_motor'!$D$602&gt;='_motor'!$B$668),"2 · Intermedia / de enlace",IF(AND('_motor'!$C$602&lt;'_motor'!$B$668,'_motor'!$D$602&gt;='_motor'!$B$668),"3 · Resultado","4 · Excluida / autónoma")))))</f>
        <v/>
      </c>
      <c r="J22" s="19">
        <f>IF('_motor'!$B$602=0,"",IF(AND(ABS('_motor'!$C$602-'_motor'!$B$668)&lt;='_motor'!$B$676+0.000000001,ABS('_motor'!$D$602-'_motor'!$B$668)&lt;='_motor'!$B$676+0.000000001),"Reguladora",IF(AND('_motor'!$C$602&gt;='_motor'!$B$668,'_motor'!$D$602&lt;0.5*'_motor'!$B$668),"Determinante / entorno",IF(AND('_motor'!$C$602&gt;='_motor'!$B$668,'_motor'!$D$602&lt;'_motor'!$B$668),"Palanca secundaria",IF(AND('_motor'!$C$602&gt;='_motor'!$B$668,'_motor'!$D$602&gt;='_motor'!$B$668),"Clave / de enlace",IF(AND('_motor'!$D$602&gt;='_motor'!$B$668,'_motor'!$C$602&gt;=0.5*'_motor'!$B$668),"Objetivo",IF('_motor'!$D$602&gt;='_motor'!$B$668,"Resultado","Autónoma")))))))</f>
        <v/>
      </c>
    </row>
    <row r="23" spans="1:10" x14ac:dyDescent="0.2">
      <c r="A23" s="21">
        <f>IF('_motor'!$B$603=0,"",'02 · Variables'!$B$24)</f>
        <v/>
      </c>
      <c r="B23" s="19">
        <f>IF('_motor'!$B$603=0,"",'02 · Variables'!$C$24)</f>
        <v/>
      </c>
      <c r="C23" s="38">
        <f>IF('_motor'!$B$603=0,"",'_motor'!$C$603)</f>
        <v/>
      </c>
      <c r="D23" s="38">
        <f>IF('_motor'!$B$603=0,"",'_motor'!$D$603)</f>
        <v/>
      </c>
      <c r="E23" s="33">
        <f>IF(OR('_motor'!$B$603=0,'_motor'!$B$672=0),"",'_motor'!$C$603/'_motor'!$B$672)</f>
        <v/>
      </c>
      <c r="F23" s="33">
        <f>IF(OR('_motor'!$B$603=0,'_motor'!$B$672=0),"",'_motor'!$D$603/'_motor'!$B$672)</f>
        <v/>
      </c>
      <c r="G23" s="22">
        <f>IF('_motor'!$B$603=0,"",SUMPRODUCT('_motor'!$B$586:$B$665*('_motor'!$C$586:$C$665&gt;'_motor'!$C$603))+(SUMPRODUCT('_motor'!$B$586:$B$665*('_motor'!$C$586:$C$665='_motor'!$C$603))+1)/2)</f>
        <v/>
      </c>
      <c r="H23" s="22">
        <f>IF('_motor'!$B$603=0,"",SUMPRODUCT('_motor'!$B$586:$B$665*('_motor'!$D$586:$D$665&gt;'_motor'!$D$603))+(SUMPRODUCT('_motor'!$B$586:$B$665*('_motor'!$D$586:$D$665='_motor'!$D$603))+1)/2)</f>
        <v/>
      </c>
      <c r="I23" s="19">
        <f>IF('_motor'!$B$603=0,"",IF(AND(ABS('_motor'!$C$603-'_motor'!$B$668)&lt;='_motor'!$B$676+0.000000001,ABS('_motor'!$D$603-'_motor'!$B$668)&lt;='_motor'!$B$676+0.000000001),"5 · Pelotón (no concluyente)",IF(AND('_motor'!$C$603&gt;='_motor'!$B$668,'_motor'!$D$603&lt;'_motor'!$B$668),"1 · Entrada / determinante",IF(AND('_motor'!$C$603&gt;='_motor'!$B$668,'_motor'!$D$603&gt;='_motor'!$B$668),"2 · Intermedia / de enlace",IF(AND('_motor'!$C$603&lt;'_motor'!$B$668,'_motor'!$D$603&gt;='_motor'!$B$668),"3 · Resultado","4 · Excluida / autónoma")))))</f>
        <v/>
      </c>
      <c r="J23" s="19">
        <f>IF('_motor'!$B$603=0,"",IF(AND(ABS('_motor'!$C$603-'_motor'!$B$668)&lt;='_motor'!$B$676+0.000000001,ABS('_motor'!$D$603-'_motor'!$B$668)&lt;='_motor'!$B$676+0.000000001),"Reguladora",IF(AND('_motor'!$C$603&gt;='_motor'!$B$668,'_motor'!$D$603&lt;0.5*'_motor'!$B$668),"Determinante / entorno",IF(AND('_motor'!$C$603&gt;='_motor'!$B$668,'_motor'!$D$603&lt;'_motor'!$B$668),"Palanca secundaria",IF(AND('_motor'!$C$603&gt;='_motor'!$B$668,'_motor'!$D$603&gt;='_motor'!$B$668),"Clave / de enlace",IF(AND('_motor'!$D$603&gt;='_motor'!$B$668,'_motor'!$C$603&gt;=0.5*'_motor'!$B$668),"Objetivo",IF('_motor'!$D$603&gt;='_motor'!$B$668,"Resultado","Autónoma")))))))</f>
        <v/>
      </c>
    </row>
    <row r="24" spans="1:10" x14ac:dyDescent="0.2">
      <c r="A24" s="21">
        <f>IF('_motor'!$B$604=0,"",'02 · Variables'!$B$25)</f>
        <v/>
      </c>
      <c r="B24" s="19">
        <f>IF('_motor'!$B$604=0,"",'02 · Variables'!$C$25)</f>
        <v/>
      </c>
      <c r="C24" s="38">
        <f>IF('_motor'!$B$604=0,"",'_motor'!$C$604)</f>
        <v/>
      </c>
      <c r="D24" s="38">
        <f>IF('_motor'!$B$604=0,"",'_motor'!$D$604)</f>
        <v/>
      </c>
      <c r="E24" s="33">
        <f>IF(OR('_motor'!$B$604=0,'_motor'!$B$672=0),"",'_motor'!$C$604/'_motor'!$B$672)</f>
        <v/>
      </c>
      <c r="F24" s="33">
        <f>IF(OR('_motor'!$B$604=0,'_motor'!$B$672=0),"",'_motor'!$D$604/'_motor'!$B$672)</f>
        <v/>
      </c>
      <c r="G24" s="22">
        <f>IF('_motor'!$B$604=0,"",SUMPRODUCT('_motor'!$B$586:$B$665*('_motor'!$C$586:$C$665&gt;'_motor'!$C$604))+(SUMPRODUCT('_motor'!$B$586:$B$665*('_motor'!$C$586:$C$665='_motor'!$C$604))+1)/2)</f>
        <v/>
      </c>
      <c r="H24" s="22">
        <f>IF('_motor'!$B$604=0,"",SUMPRODUCT('_motor'!$B$586:$B$665*('_motor'!$D$586:$D$665&gt;'_motor'!$D$604))+(SUMPRODUCT('_motor'!$B$586:$B$665*('_motor'!$D$586:$D$665='_motor'!$D$604))+1)/2)</f>
        <v/>
      </c>
      <c r="I24" s="19">
        <f>IF('_motor'!$B$604=0,"",IF(AND(ABS('_motor'!$C$604-'_motor'!$B$668)&lt;='_motor'!$B$676+0.000000001,ABS('_motor'!$D$604-'_motor'!$B$668)&lt;='_motor'!$B$676+0.000000001),"5 · Pelotón (no concluyente)",IF(AND('_motor'!$C$604&gt;='_motor'!$B$668,'_motor'!$D$604&lt;'_motor'!$B$668),"1 · Entrada / determinante",IF(AND('_motor'!$C$604&gt;='_motor'!$B$668,'_motor'!$D$604&gt;='_motor'!$B$668),"2 · Intermedia / de enlace",IF(AND('_motor'!$C$604&lt;'_motor'!$B$668,'_motor'!$D$604&gt;='_motor'!$B$668),"3 · Resultado","4 · Excluida / autónoma")))))</f>
        <v/>
      </c>
      <c r="J24" s="19">
        <f>IF('_motor'!$B$604=0,"",IF(AND(ABS('_motor'!$C$604-'_motor'!$B$668)&lt;='_motor'!$B$676+0.000000001,ABS('_motor'!$D$604-'_motor'!$B$668)&lt;='_motor'!$B$676+0.000000001),"Reguladora",IF(AND('_motor'!$C$604&gt;='_motor'!$B$668,'_motor'!$D$604&lt;0.5*'_motor'!$B$668),"Determinante / entorno",IF(AND('_motor'!$C$604&gt;='_motor'!$B$668,'_motor'!$D$604&lt;'_motor'!$B$668),"Palanca secundaria",IF(AND('_motor'!$C$604&gt;='_motor'!$B$668,'_motor'!$D$604&gt;='_motor'!$B$668),"Clave / de enlace",IF(AND('_motor'!$D$604&gt;='_motor'!$B$668,'_motor'!$C$604&gt;=0.5*'_motor'!$B$668),"Objetivo",IF('_motor'!$D$604&gt;='_motor'!$B$668,"Resultado","Autónoma")))))))</f>
        <v/>
      </c>
    </row>
    <row r="25" spans="1:10" x14ac:dyDescent="0.2">
      <c r="A25" s="21">
        <f>IF('_motor'!$B$605=0,"",'02 · Variables'!$B$26)</f>
        <v/>
      </c>
      <c r="B25" s="19">
        <f>IF('_motor'!$B$605=0,"",'02 · Variables'!$C$26)</f>
        <v/>
      </c>
      <c r="C25" s="38">
        <f>IF('_motor'!$B$605=0,"",'_motor'!$C$605)</f>
        <v/>
      </c>
      <c r="D25" s="38">
        <f>IF('_motor'!$B$605=0,"",'_motor'!$D$605)</f>
        <v/>
      </c>
      <c r="E25" s="33">
        <f>IF(OR('_motor'!$B$605=0,'_motor'!$B$672=0),"",'_motor'!$C$605/'_motor'!$B$672)</f>
        <v/>
      </c>
      <c r="F25" s="33">
        <f>IF(OR('_motor'!$B$605=0,'_motor'!$B$672=0),"",'_motor'!$D$605/'_motor'!$B$672)</f>
        <v/>
      </c>
      <c r="G25" s="22">
        <f>IF('_motor'!$B$605=0,"",SUMPRODUCT('_motor'!$B$586:$B$665*('_motor'!$C$586:$C$665&gt;'_motor'!$C$605))+(SUMPRODUCT('_motor'!$B$586:$B$665*('_motor'!$C$586:$C$665='_motor'!$C$605))+1)/2)</f>
        <v/>
      </c>
      <c r="H25" s="22">
        <f>IF('_motor'!$B$605=0,"",SUMPRODUCT('_motor'!$B$586:$B$665*('_motor'!$D$586:$D$665&gt;'_motor'!$D$605))+(SUMPRODUCT('_motor'!$B$586:$B$665*('_motor'!$D$586:$D$665='_motor'!$D$605))+1)/2)</f>
        <v/>
      </c>
      <c r="I25" s="19">
        <f>IF('_motor'!$B$605=0,"",IF(AND(ABS('_motor'!$C$605-'_motor'!$B$668)&lt;='_motor'!$B$676+0.000000001,ABS('_motor'!$D$605-'_motor'!$B$668)&lt;='_motor'!$B$676+0.000000001),"5 · Pelotón (no concluyente)",IF(AND('_motor'!$C$605&gt;='_motor'!$B$668,'_motor'!$D$605&lt;'_motor'!$B$668),"1 · Entrada / determinante",IF(AND('_motor'!$C$605&gt;='_motor'!$B$668,'_motor'!$D$605&gt;='_motor'!$B$668),"2 · Intermedia / de enlace",IF(AND('_motor'!$C$605&lt;'_motor'!$B$668,'_motor'!$D$605&gt;='_motor'!$B$668),"3 · Resultado","4 · Excluida / autónoma")))))</f>
        <v/>
      </c>
      <c r="J25" s="19">
        <f>IF('_motor'!$B$605=0,"",IF(AND(ABS('_motor'!$C$605-'_motor'!$B$668)&lt;='_motor'!$B$676+0.000000001,ABS('_motor'!$D$605-'_motor'!$B$668)&lt;='_motor'!$B$676+0.000000001),"Reguladora",IF(AND('_motor'!$C$605&gt;='_motor'!$B$668,'_motor'!$D$605&lt;0.5*'_motor'!$B$668),"Determinante / entorno",IF(AND('_motor'!$C$605&gt;='_motor'!$B$668,'_motor'!$D$605&lt;'_motor'!$B$668),"Palanca secundaria",IF(AND('_motor'!$C$605&gt;='_motor'!$B$668,'_motor'!$D$605&gt;='_motor'!$B$668),"Clave / de enlace",IF(AND('_motor'!$D$605&gt;='_motor'!$B$668,'_motor'!$C$605&gt;=0.5*'_motor'!$B$668),"Objetivo",IF('_motor'!$D$605&gt;='_motor'!$B$668,"Resultado","Autónoma")))))))</f>
        <v/>
      </c>
    </row>
    <row r="26" spans="1:10" x14ac:dyDescent="0.2">
      <c r="A26" s="21">
        <f>IF('_motor'!$B$606=0,"",'02 · Variables'!$B$27)</f>
        <v/>
      </c>
      <c r="B26" s="19">
        <f>IF('_motor'!$B$606=0,"",'02 · Variables'!$C$27)</f>
        <v/>
      </c>
      <c r="C26" s="38">
        <f>IF('_motor'!$B$606=0,"",'_motor'!$C$606)</f>
        <v/>
      </c>
      <c r="D26" s="38">
        <f>IF('_motor'!$B$606=0,"",'_motor'!$D$606)</f>
        <v/>
      </c>
      <c r="E26" s="33">
        <f>IF(OR('_motor'!$B$606=0,'_motor'!$B$672=0),"",'_motor'!$C$606/'_motor'!$B$672)</f>
        <v/>
      </c>
      <c r="F26" s="33">
        <f>IF(OR('_motor'!$B$606=0,'_motor'!$B$672=0),"",'_motor'!$D$606/'_motor'!$B$672)</f>
        <v/>
      </c>
      <c r="G26" s="22">
        <f>IF('_motor'!$B$606=0,"",SUMPRODUCT('_motor'!$B$586:$B$665*('_motor'!$C$586:$C$665&gt;'_motor'!$C$606))+(SUMPRODUCT('_motor'!$B$586:$B$665*('_motor'!$C$586:$C$665='_motor'!$C$606))+1)/2)</f>
        <v/>
      </c>
      <c r="H26" s="22">
        <f>IF('_motor'!$B$606=0,"",SUMPRODUCT('_motor'!$B$586:$B$665*('_motor'!$D$586:$D$665&gt;'_motor'!$D$606))+(SUMPRODUCT('_motor'!$B$586:$B$665*('_motor'!$D$586:$D$665='_motor'!$D$606))+1)/2)</f>
        <v/>
      </c>
      <c r="I26" s="19">
        <f>IF('_motor'!$B$606=0,"",IF(AND(ABS('_motor'!$C$606-'_motor'!$B$668)&lt;='_motor'!$B$676+0.000000001,ABS('_motor'!$D$606-'_motor'!$B$668)&lt;='_motor'!$B$676+0.000000001),"5 · Pelotón (no concluyente)",IF(AND('_motor'!$C$606&gt;='_motor'!$B$668,'_motor'!$D$606&lt;'_motor'!$B$668),"1 · Entrada / determinante",IF(AND('_motor'!$C$606&gt;='_motor'!$B$668,'_motor'!$D$606&gt;='_motor'!$B$668),"2 · Intermedia / de enlace",IF(AND('_motor'!$C$606&lt;'_motor'!$B$668,'_motor'!$D$606&gt;='_motor'!$B$668),"3 · Resultado","4 · Excluida / autónoma")))))</f>
        <v/>
      </c>
      <c r="J26" s="19">
        <f>IF('_motor'!$B$606=0,"",IF(AND(ABS('_motor'!$C$606-'_motor'!$B$668)&lt;='_motor'!$B$676+0.000000001,ABS('_motor'!$D$606-'_motor'!$B$668)&lt;='_motor'!$B$676+0.000000001),"Reguladora",IF(AND('_motor'!$C$606&gt;='_motor'!$B$668,'_motor'!$D$606&lt;0.5*'_motor'!$B$668),"Determinante / entorno",IF(AND('_motor'!$C$606&gt;='_motor'!$B$668,'_motor'!$D$606&lt;'_motor'!$B$668),"Palanca secundaria",IF(AND('_motor'!$C$606&gt;='_motor'!$B$668,'_motor'!$D$606&gt;='_motor'!$B$668),"Clave / de enlace",IF(AND('_motor'!$D$606&gt;='_motor'!$B$668,'_motor'!$C$606&gt;=0.5*'_motor'!$B$668),"Objetivo",IF('_motor'!$D$606&gt;='_motor'!$B$668,"Resultado","Autónoma")))))))</f>
        <v/>
      </c>
    </row>
    <row r="27" spans="1:10" x14ac:dyDescent="0.2">
      <c r="A27" s="21">
        <f>IF('_motor'!$B$607=0,"",'02 · Variables'!$B$28)</f>
        <v/>
      </c>
      <c r="B27" s="19">
        <f>IF('_motor'!$B$607=0,"",'02 · Variables'!$C$28)</f>
        <v/>
      </c>
      <c r="C27" s="38">
        <f>IF('_motor'!$B$607=0,"",'_motor'!$C$607)</f>
        <v/>
      </c>
      <c r="D27" s="38">
        <f>IF('_motor'!$B$607=0,"",'_motor'!$D$607)</f>
        <v/>
      </c>
      <c r="E27" s="33">
        <f>IF(OR('_motor'!$B$607=0,'_motor'!$B$672=0),"",'_motor'!$C$607/'_motor'!$B$672)</f>
        <v/>
      </c>
      <c r="F27" s="33">
        <f>IF(OR('_motor'!$B$607=0,'_motor'!$B$672=0),"",'_motor'!$D$607/'_motor'!$B$672)</f>
        <v/>
      </c>
      <c r="G27" s="22">
        <f>IF('_motor'!$B$607=0,"",SUMPRODUCT('_motor'!$B$586:$B$665*('_motor'!$C$586:$C$665&gt;'_motor'!$C$607))+(SUMPRODUCT('_motor'!$B$586:$B$665*('_motor'!$C$586:$C$665='_motor'!$C$607))+1)/2)</f>
        <v/>
      </c>
      <c r="H27" s="22">
        <f>IF('_motor'!$B$607=0,"",SUMPRODUCT('_motor'!$B$586:$B$665*('_motor'!$D$586:$D$665&gt;'_motor'!$D$607))+(SUMPRODUCT('_motor'!$B$586:$B$665*('_motor'!$D$586:$D$665='_motor'!$D$607))+1)/2)</f>
        <v/>
      </c>
      <c r="I27" s="19">
        <f>IF('_motor'!$B$607=0,"",IF(AND(ABS('_motor'!$C$607-'_motor'!$B$668)&lt;='_motor'!$B$676+0.000000001,ABS('_motor'!$D$607-'_motor'!$B$668)&lt;='_motor'!$B$676+0.000000001),"5 · Pelotón (no concluyente)",IF(AND('_motor'!$C$607&gt;='_motor'!$B$668,'_motor'!$D$607&lt;'_motor'!$B$668),"1 · Entrada / determinante",IF(AND('_motor'!$C$607&gt;='_motor'!$B$668,'_motor'!$D$607&gt;='_motor'!$B$668),"2 · Intermedia / de enlace",IF(AND('_motor'!$C$607&lt;'_motor'!$B$668,'_motor'!$D$607&gt;='_motor'!$B$668),"3 · Resultado","4 · Excluida / autónoma")))))</f>
        <v/>
      </c>
      <c r="J27" s="19">
        <f>IF('_motor'!$B$607=0,"",IF(AND(ABS('_motor'!$C$607-'_motor'!$B$668)&lt;='_motor'!$B$676+0.000000001,ABS('_motor'!$D$607-'_motor'!$B$668)&lt;='_motor'!$B$676+0.000000001),"Reguladora",IF(AND('_motor'!$C$607&gt;='_motor'!$B$668,'_motor'!$D$607&lt;0.5*'_motor'!$B$668),"Determinante / entorno",IF(AND('_motor'!$C$607&gt;='_motor'!$B$668,'_motor'!$D$607&lt;'_motor'!$B$668),"Palanca secundaria",IF(AND('_motor'!$C$607&gt;='_motor'!$B$668,'_motor'!$D$607&gt;='_motor'!$B$668),"Clave / de enlace",IF(AND('_motor'!$D$607&gt;='_motor'!$B$668,'_motor'!$C$607&gt;=0.5*'_motor'!$B$668),"Objetivo",IF('_motor'!$D$607&gt;='_motor'!$B$668,"Resultado","Autónoma")))))))</f>
        <v/>
      </c>
    </row>
    <row r="28" spans="1:10" x14ac:dyDescent="0.2">
      <c r="A28" s="21">
        <f>IF('_motor'!$B$608=0,"",'02 · Variables'!$B$29)</f>
        <v/>
      </c>
      <c r="B28" s="19">
        <f>IF('_motor'!$B$608=0,"",'02 · Variables'!$C$29)</f>
        <v/>
      </c>
      <c r="C28" s="38">
        <f>IF('_motor'!$B$608=0,"",'_motor'!$C$608)</f>
        <v/>
      </c>
      <c r="D28" s="38">
        <f>IF('_motor'!$B$608=0,"",'_motor'!$D$608)</f>
        <v/>
      </c>
      <c r="E28" s="33">
        <f>IF(OR('_motor'!$B$608=0,'_motor'!$B$672=0),"",'_motor'!$C$608/'_motor'!$B$672)</f>
        <v/>
      </c>
      <c r="F28" s="33">
        <f>IF(OR('_motor'!$B$608=0,'_motor'!$B$672=0),"",'_motor'!$D$608/'_motor'!$B$672)</f>
        <v/>
      </c>
      <c r="G28" s="22">
        <f>IF('_motor'!$B$608=0,"",SUMPRODUCT('_motor'!$B$586:$B$665*('_motor'!$C$586:$C$665&gt;'_motor'!$C$608))+(SUMPRODUCT('_motor'!$B$586:$B$665*('_motor'!$C$586:$C$665='_motor'!$C$608))+1)/2)</f>
        <v/>
      </c>
      <c r="H28" s="22">
        <f>IF('_motor'!$B$608=0,"",SUMPRODUCT('_motor'!$B$586:$B$665*('_motor'!$D$586:$D$665&gt;'_motor'!$D$608))+(SUMPRODUCT('_motor'!$B$586:$B$665*('_motor'!$D$586:$D$665='_motor'!$D$608))+1)/2)</f>
        <v/>
      </c>
      <c r="I28" s="19">
        <f>IF('_motor'!$B$608=0,"",IF(AND(ABS('_motor'!$C$608-'_motor'!$B$668)&lt;='_motor'!$B$676+0.000000001,ABS('_motor'!$D$608-'_motor'!$B$668)&lt;='_motor'!$B$676+0.000000001),"5 · Pelotón (no concluyente)",IF(AND('_motor'!$C$608&gt;='_motor'!$B$668,'_motor'!$D$608&lt;'_motor'!$B$668),"1 · Entrada / determinante",IF(AND('_motor'!$C$608&gt;='_motor'!$B$668,'_motor'!$D$608&gt;='_motor'!$B$668),"2 · Intermedia / de enlace",IF(AND('_motor'!$C$608&lt;'_motor'!$B$668,'_motor'!$D$608&gt;='_motor'!$B$668),"3 · Resultado","4 · Excluida / autónoma")))))</f>
        <v/>
      </c>
      <c r="J28" s="19">
        <f>IF('_motor'!$B$608=0,"",IF(AND(ABS('_motor'!$C$608-'_motor'!$B$668)&lt;='_motor'!$B$676+0.000000001,ABS('_motor'!$D$608-'_motor'!$B$668)&lt;='_motor'!$B$676+0.000000001),"Reguladora",IF(AND('_motor'!$C$608&gt;='_motor'!$B$668,'_motor'!$D$608&lt;0.5*'_motor'!$B$668),"Determinante / entorno",IF(AND('_motor'!$C$608&gt;='_motor'!$B$668,'_motor'!$D$608&lt;'_motor'!$B$668),"Palanca secundaria",IF(AND('_motor'!$C$608&gt;='_motor'!$B$668,'_motor'!$D$608&gt;='_motor'!$B$668),"Clave / de enlace",IF(AND('_motor'!$D$608&gt;='_motor'!$B$668,'_motor'!$C$608&gt;=0.5*'_motor'!$B$668),"Objetivo",IF('_motor'!$D$608&gt;='_motor'!$B$668,"Resultado","Autónoma")))))))</f>
        <v/>
      </c>
    </row>
    <row r="29" spans="1:10" x14ac:dyDescent="0.2">
      <c r="A29" s="21">
        <f>IF('_motor'!$B$609=0,"",'02 · Variables'!$B$30)</f>
        <v/>
      </c>
      <c r="B29" s="19">
        <f>IF('_motor'!$B$609=0,"",'02 · Variables'!$C$30)</f>
        <v/>
      </c>
      <c r="C29" s="38">
        <f>IF('_motor'!$B$609=0,"",'_motor'!$C$609)</f>
        <v/>
      </c>
      <c r="D29" s="38">
        <f>IF('_motor'!$B$609=0,"",'_motor'!$D$609)</f>
        <v/>
      </c>
      <c r="E29" s="33">
        <f>IF(OR('_motor'!$B$609=0,'_motor'!$B$672=0),"",'_motor'!$C$609/'_motor'!$B$672)</f>
        <v/>
      </c>
      <c r="F29" s="33">
        <f>IF(OR('_motor'!$B$609=0,'_motor'!$B$672=0),"",'_motor'!$D$609/'_motor'!$B$672)</f>
        <v/>
      </c>
      <c r="G29" s="22">
        <f>IF('_motor'!$B$609=0,"",SUMPRODUCT('_motor'!$B$586:$B$665*('_motor'!$C$586:$C$665&gt;'_motor'!$C$609))+(SUMPRODUCT('_motor'!$B$586:$B$665*('_motor'!$C$586:$C$665='_motor'!$C$609))+1)/2)</f>
        <v/>
      </c>
      <c r="H29" s="22">
        <f>IF('_motor'!$B$609=0,"",SUMPRODUCT('_motor'!$B$586:$B$665*('_motor'!$D$586:$D$665&gt;'_motor'!$D$609))+(SUMPRODUCT('_motor'!$B$586:$B$665*('_motor'!$D$586:$D$665='_motor'!$D$609))+1)/2)</f>
        <v/>
      </c>
      <c r="I29" s="19">
        <f>IF('_motor'!$B$609=0,"",IF(AND(ABS('_motor'!$C$609-'_motor'!$B$668)&lt;='_motor'!$B$676+0.000000001,ABS('_motor'!$D$609-'_motor'!$B$668)&lt;='_motor'!$B$676+0.000000001),"5 · Pelotón (no concluyente)",IF(AND('_motor'!$C$609&gt;='_motor'!$B$668,'_motor'!$D$609&lt;'_motor'!$B$668),"1 · Entrada / determinante",IF(AND('_motor'!$C$609&gt;='_motor'!$B$668,'_motor'!$D$609&gt;='_motor'!$B$668),"2 · Intermedia / de enlace",IF(AND('_motor'!$C$609&lt;'_motor'!$B$668,'_motor'!$D$609&gt;='_motor'!$B$668),"3 · Resultado","4 · Excluida / autónoma")))))</f>
        <v/>
      </c>
      <c r="J29" s="19">
        <f>IF('_motor'!$B$609=0,"",IF(AND(ABS('_motor'!$C$609-'_motor'!$B$668)&lt;='_motor'!$B$676+0.000000001,ABS('_motor'!$D$609-'_motor'!$B$668)&lt;='_motor'!$B$676+0.000000001),"Reguladora",IF(AND('_motor'!$C$609&gt;='_motor'!$B$668,'_motor'!$D$609&lt;0.5*'_motor'!$B$668),"Determinante / entorno",IF(AND('_motor'!$C$609&gt;='_motor'!$B$668,'_motor'!$D$609&lt;'_motor'!$B$668),"Palanca secundaria",IF(AND('_motor'!$C$609&gt;='_motor'!$B$668,'_motor'!$D$609&gt;='_motor'!$B$668),"Clave / de enlace",IF(AND('_motor'!$D$609&gt;='_motor'!$B$668,'_motor'!$C$609&gt;=0.5*'_motor'!$B$668),"Objetivo",IF('_motor'!$D$609&gt;='_motor'!$B$668,"Resultado","Autónoma")))))))</f>
        <v/>
      </c>
    </row>
    <row r="30" spans="1:10" x14ac:dyDescent="0.2">
      <c r="A30" s="21">
        <f>IF('_motor'!$B$610=0,"",'02 · Variables'!$B$31)</f>
        <v/>
      </c>
      <c r="B30" s="19">
        <f>IF('_motor'!$B$610=0,"",'02 · Variables'!$C$31)</f>
        <v/>
      </c>
      <c r="C30" s="38">
        <f>IF('_motor'!$B$610=0,"",'_motor'!$C$610)</f>
        <v/>
      </c>
      <c r="D30" s="38">
        <f>IF('_motor'!$B$610=0,"",'_motor'!$D$610)</f>
        <v/>
      </c>
      <c r="E30" s="33">
        <f>IF(OR('_motor'!$B$610=0,'_motor'!$B$672=0),"",'_motor'!$C$610/'_motor'!$B$672)</f>
        <v/>
      </c>
      <c r="F30" s="33">
        <f>IF(OR('_motor'!$B$610=0,'_motor'!$B$672=0),"",'_motor'!$D$610/'_motor'!$B$672)</f>
        <v/>
      </c>
      <c r="G30" s="22">
        <f>IF('_motor'!$B$610=0,"",SUMPRODUCT('_motor'!$B$586:$B$665*('_motor'!$C$586:$C$665&gt;'_motor'!$C$610))+(SUMPRODUCT('_motor'!$B$586:$B$665*('_motor'!$C$586:$C$665='_motor'!$C$610))+1)/2)</f>
        <v/>
      </c>
      <c r="H30" s="22">
        <f>IF('_motor'!$B$610=0,"",SUMPRODUCT('_motor'!$B$586:$B$665*('_motor'!$D$586:$D$665&gt;'_motor'!$D$610))+(SUMPRODUCT('_motor'!$B$586:$B$665*('_motor'!$D$586:$D$665='_motor'!$D$610))+1)/2)</f>
        <v/>
      </c>
      <c r="I30" s="19">
        <f>IF('_motor'!$B$610=0,"",IF(AND(ABS('_motor'!$C$610-'_motor'!$B$668)&lt;='_motor'!$B$676+0.000000001,ABS('_motor'!$D$610-'_motor'!$B$668)&lt;='_motor'!$B$676+0.000000001),"5 · Pelotón (no concluyente)",IF(AND('_motor'!$C$610&gt;='_motor'!$B$668,'_motor'!$D$610&lt;'_motor'!$B$668),"1 · Entrada / determinante",IF(AND('_motor'!$C$610&gt;='_motor'!$B$668,'_motor'!$D$610&gt;='_motor'!$B$668),"2 · Intermedia / de enlace",IF(AND('_motor'!$C$610&lt;'_motor'!$B$668,'_motor'!$D$610&gt;='_motor'!$B$668),"3 · Resultado","4 · Excluida / autónoma")))))</f>
        <v/>
      </c>
      <c r="J30" s="19">
        <f>IF('_motor'!$B$610=0,"",IF(AND(ABS('_motor'!$C$610-'_motor'!$B$668)&lt;='_motor'!$B$676+0.000000001,ABS('_motor'!$D$610-'_motor'!$B$668)&lt;='_motor'!$B$676+0.000000001),"Reguladora",IF(AND('_motor'!$C$610&gt;='_motor'!$B$668,'_motor'!$D$610&lt;0.5*'_motor'!$B$668),"Determinante / entorno",IF(AND('_motor'!$C$610&gt;='_motor'!$B$668,'_motor'!$D$610&lt;'_motor'!$B$668),"Palanca secundaria",IF(AND('_motor'!$C$610&gt;='_motor'!$B$668,'_motor'!$D$610&gt;='_motor'!$B$668),"Clave / de enlace",IF(AND('_motor'!$D$610&gt;='_motor'!$B$668,'_motor'!$C$610&gt;=0.5*'_motor'!$B$668),"Objetivo",IF('_motor'!$D$610&gt;='_motor'!$B$668,"Resultado","Autónoma")))))))</f>
        <v/>
      </c>
    </row>
    <row r="31" spans="1:10" x14ac:dyDescent="0.2">
      <c r="A31" s="21">
        <f>IF('_motor'!$B$611=0,"",'02 · Variables'!$B$32)</f>
        <v/>
      </c>
      <c r="B31" s="19">
        <f>IF('_motor'!$B$611=0,"",'02 · Variables'!$C$32)</f>
        <v/>
      </c>
      <c r="C31" s="38">
        <f>IF('_motor'!$B$611=0,"",'_motor'!$C$611)</f>
        <v/>
      </c>
      <c r="D31" s="38">
        <f>IF('_motor'!$B$611=0,"",'_motor'!$D$611)</f>
        <v/>
      </c>
      <c r="E31" s="33">
        <f>IF(OR('_motor'!$B$611=0,'_motor'!$B$672=0),"",'_motor'!$C$611/'_motor'!$B$672)</f>
        <v/>
      </c>
      <c r="F31" s="33">
        <f>IF(OR('_motor'!$B$611=0,'_motor'!$B$672=0),"",'_motor'!$D$611/'_motor'!$B$672)</f>
        <v/>
      </c>
      <c r="G31" s="22">
        <f>IF('_motor'!$B$611=0,"",SUMPRODUCT('_motor'!$B$586:$B$665*('_motor'!$C$586:$C$665&gt;'_motor'!$C$611))+(SUMPRODUCT('_motor'!$B$586:$B$665*('_motor'!$C$586:$C$665='_motor'!$C$611))+1)/2)</f>
        <v/>
      </c>
      <c r="H31" s="22">
        <f>IF('_motor'!$B$611=0,"",SUMPRODUCT('_motor'!$B$586:$B$665*('_motor'!$D$586:$D$665&gt;'_motor'!$D$611))+(SUMPRODUCT('_motor'!$B$586:$B$665*('_motor'!$D$586:$D$665='_motor'!$D$611))+1)/2)</f>
        <v/>
      </c>
      <c r="I31" s="19">
        <f>IF('_motor'!$B$611=0,"",IF(AND(ABS('_motor'!$C$611-'_motor'!$B$668)&lt;='_motor'!$B$676+0.000000001,ABS('_motor'!$D$611-'_motor'!$B$668)&lt;='_motor'!$B$676+0.000000001),"5 · Pelotón (no concluyente)",IF(AND('_motor'!$C$611&gt;='_motor'!$B$668,'_motor'!$D$611&lt;'_motor'!$B$668),"1 · Entrada / determinante",IF(AND('_motor'!$C$611&gt;='_motor'!$B$668,'_motor'!$D$611&gt;='_motor'!$B$668),"2 · Intermedia / de enlace",IF(AND('_motor'!$C$611&lt;'_motor'!$B$668,'_motor'!$D$611&gt;='_motor'!$B$668),"3 · Resultado","4 · Excluida / autónoma")))))</f>
        <v/>
      </c>
      <c r="J31" s="19">
        <f>IF('_motor'!$B$611=0,"",IF(AND(ABS('_motor'!$C$611-'_motor'!$B$668)&lt;='_motor'!$B$676+0.000000001,ABS('_motor'!$D$611-'_motor'!$B$668)&lt;='_motor'!$B$676+0.000000001),"Reguladora",IF(AND('_motor'!$C$611&gt;='_motor'!$B$668,'_motor'!$D$611&lt;0.5*'_motor'!$B$668),"Determinante / entorno",IF(AND('_motor'!$C$611&gt;='_motor'!$B$668,'_motor'!$D$611&lt;'_motor'!$B$668),"Palanca secundaria",IF(AND('_motor'!$C$611&gt;='_motor'!$B$668,'_motor'!$D$611&gt;='_motor'!$B$668),"Clave / de enlace",IF(AND('_motor'!$D$611&gt;='_motor'!$B$668,'_motor'!$C$611&gt;=0.5*'_motor'!$B$668),"Objetivo",IF('_motor'!$D$611&gt;='_motor'!$B$668,"Resultado","Autónoma")))))))</f>
        <v/>
      </c>
    </row>
    <row r="32" spans="1:10" x14ac:dyDescent="0.2">
      <c r="A32" s="21">
        <f>IF('_motor'!$B$612=0,"",'02 · Variables'!$B$33)</f>
        <v/>
      </c>
      <c r="B32" s="19">
        <f>IF('_motor'!$B$612=0,"",'02 · Variables'!$C$33)</f>
        <v/>
      </c>
      <c r="C32" s="38">
        <f>IF('_motor'!$B$612=0,"",'_motor'!$C$612)</f>
        <v/>
      </c>
      <c r="D32" s="38">
        <f>IF('_motor'!$B$612=0,"",'_motor'!$D$612)</f>
        <v/>
      </c>
      <c r="E32" s="33">
        <f>IF(OR('_motor'!$B$612=0,'_motor'!$B$672=0),"",'_motor'!$C$612/'_motor'!$B$672)</f>
        <v/>
      </c>
      <c r="F32" s="33">
        <f>IF(OR('_motor'!$B$612=0,'_motor'!$B$672=0),"",'_motor'!$D$612/'_motor'!$B$672)</f>
        <v/>
      </c>
      <c r="G32" s="22">
        <f>IF('_motor'!$B$612=0,"",SUMPRODUCT('_motor'!$B$586:$B$665*('_motor'!$C$586:$C$665&gt;'_motor'!$C$612))+(SUMPRODUCT('_motor'!$B$586:$B$665*('_motor'!$C$586:$C$665='_motor'!$C$612))+1)/2)</f>
        <v/>
      </c>
      <c r="H32" s="22">
        <f>IF('_motor'!$B$612=0,"",SUMPRODUCT('_motor'!$B$586:$B$665*('_motor'!$D$586:$D$665&gt;'_motor'!$D$612))+(SUMPRODUCT('_motor'!$B$586:$B$665*('_motor'!$D$586:$D$665='_motor'!$D$612))+1)/2)</f>
        <v/>
      </c>
      <c r="I32" s="19">
        <f>IF('_motor'!$B$612=0,"",IF(AND(ABS('_motor'!$C$612-'_motor'!$B$668)&lt;='_motor'!$B$676+0.000000001,ABS('_motor'!$D$612-'_motor'!$B$668)&lt;='_motor'!$B$676+0.000000001),"5 · Pelotón (no concluyente)",IF(AND('_motor'!$C$612&gt;='_motor'!$B$668,'_motor'!$D$612&lt;'_motor'!$B$668),"1 · Entrada / determinante",IF(AND('_motor'!$C$612&gt;='_motor'!$B$668,'_motor'!$D$612&gt;='_motor'!$B$668),"2 · Intermedia / de enlace",IF(AND('_motor'!$C$612&lt;'_motor'!$B$668,'_motor'!$D$612&gt;='_motor'!$B$668),"3 · Resultado","4 · Excluida / autónoma")))))</f>
        <v/>
      </c>
      <c r="J32" s="19">
        <f>IF('_motor'!$B$612=0,"",IF(AND(ABS('_motor'!$C$612-'_motor'!$B$668)&lt;='_motor'!$B$676+0.000000001,ABS('_motor'!$D$612-'_motor'!$B$668)&lt;='_motor'!$B$676+0.000000001),"Reguladora",IF(AND('_motor'!$C$612&gt;='_motor'!$B$668,'_motor'!$D$612&lt;0.5*'_motor'!$B$668),"Determinante / entorno",IF(AND('_motor'!$C$612&gt;='_motor'!$B$668,'_motor'!$D$612&lt;'_motor'!$B$668),"Palanca secundaria",IF(AND('_motor'!$C$612&gt;='_motor'!$B$668,'_motor'!$D$612&gt;='_motor'!$B$668),"Clave / de enlace",IF(AND('_motor'!$D$612&gt;='_motor'!$B$668,'_motor'!$C$612&gt;=0.5*'_motor'!$B$668),"Objetivo",IF('_motor'!$D$612&gt;='_motor'!$B$668,"Resultado","Autónoma")))))))</f>
        <v/>
      </c>
    </row>
    <row r="33" spans="1:10" x14ac:dyDescent="0.2">
      <c r="A33" s="21">
        <f>IF('_motor'!$B$613=0,"",'02 · Variables'!$B$34)</f>
        <v/>
      </c>
      <c r="B33" s="19">
        <f>IF('_motor'!$B$613=0,"",'02 · Variables'!$C$34)</f>
        <v/>
      </c>
      <c r="C33" s="38">
        <f>IF('_motor'!$B$613=0,"",'_motor'!$C$613)</f>
        <v/>
      </c>
      <c r="D33" s="38">
        <f>IF('_motor'!$B$613=0,"",'_motor'!$D$613)</f>
        <v/>
      </c>
      <c r="E33" s="33">
        <f>IF(OR('_motor'!$B$613=0,'_motor'!$B$672=0),"",'_motor'!$C$613/'_motor'!$B$672)</f>
        <v/>
      </c>
      <c r="F33" s="33">
        <f>IF(OR('_motor'!$B$613=0,'_motor'!$B$672=0),"",'_motor'!$D$613/'_motor'!$B$672)</f>
        <v/>
      </c>
      <c r="G33" s="22">
        <f>IF('_motor'!$B$613=0,"",SUMPRODUCT('_motor'!$B$586:$B$665*('_motor'!$C$586:$C$665&gt;'_motor'!$C$613))+(SUMPRODUCT('_motor'!$B$586:$B$665*('_motor'!$C$586:$C$665='_motor'!$C$613))+1)/2)</f>
        <v/>
      </c>
      <c r="H33" s="22">
        <f>IF('_motor'!$B$613=0,"",SUMPRODUCT('_motor'!$B$586:$B$665*('_motor'!$D$586:$D$665&gt;'_motor'!$D$613))+(SUMPRODUCT('_motor'!$B$586:$B$665*('_motor'!$D$586:$D$665='_motor'!$D$613))+1)/2)</f>
        <v/>
      </c>
      <c r="I33" s="19">
        <f>IF('_motor'!$B$613=0,"",IF(AND(ABS('_motor'!$C$613-'_motor'!$B$668)&lt;='_motor'!$B$676+0.000000001,ABS('_motor'!$D$613-'_motor'!$B$668)&lt;='_motor'!$B$676+0.000000001),"5 · Pelotón (no concluyente)",IF(AND('_motor'!$C$613&gt;='_motor'!$B$668,'_motor'!$D$613&lt;'_motor'!$B$668),"1 · Entrada / determinante",IF(AND('_motor'!$C$613&gt;='_motor'!$B$668,'_motor'!$D$613&gt;='_motor'!$B$668),"2 · Intermedia / de enlace",IF(AND('_motor'!$C$613&lt;'_motor'!$B$668,'_motor'!$D$613&gt;='_motor'!$B$668),"3 · Resultado","4 · Excluida / autónoma")))))</f>
        <v/>
      </c>
      <c r="J33" s="19">
        <f>IF('_motor'!$B$613=0,"",IF(AND(ABS('_motor'!$C$613-'_motor'!$B$668)&lt;='_motor'!$B$676+0.000000001,ABS('_motor'!$D$613-'_motor'!$B$668)&lt;='_motor'!$B$676+0.000000001),"Reguladora",IF(AND('_motor'!$C$613&gt;='_motor'!$B$668,'_motor'!$D$613&lt;0.5*'_motor'!$B$668),"Determinante / entorno",IF(AND('_motor'!$C$613&gt;='_motor'!$B$668,'_motor'!$D$613&lt;'_motor'!$B$668),"Palanca secundaria",IF(AND('_motor'!$C$613&gt;='_motor'!$B$668,'_motor'!$D$613&gt;='_motor'!$B$668),"Clave / de enlace",IF(AND('_motor'!$D$613&gt;='_motor'!$B$668,'_motor'!$C$613&gt;=0.5*'_motor'!$B$668),"Objetivo",IF('_motor'!$D$613&gt;='_motor'!$B$668,"Resultado","Autónoma")))))))</f>
        <v/>
      </c>
    </row>
    <row r="34" spans="1:10" x14ac:dyDescent="0.2">
      <c r="A34" s="21">
        <f>IF('_motor'!$B$614=0,"",'02 · Variables'!$B$35)</f>
        <v/>
      </c>
      <c r="B34" s="19">
        <f>IF('_motor'!$B$614=0,"",'02 · Variables'!$C$35)</f>
        <v/>
      </c>
      <c r="C34" s="38">
        <f>IF('_motor'!$B$614=0,"",'_motor'!$C$614)</f>
        <v/>
      </c>
      <c r="D34" s="38">
        <f>IF('_motor'!$B$614=0,"",'_motor'!$D$614)</f>
        <v/>
      </c>
      <c r="E34" s="33">
        <f>IF(OR('_motor'!$B$614=0,'_motor'!$B$672=0),"",'_motor'!$C$614/'_motor'!$B$672)</f>
        <v/>
      </c>
      <c r="F34" s="33">
        <f>IF(OR('_motor'!$B$614=0,'_motor'!$B$672=0),"",'_motor'!$D$614/'_motor'!$B$672)</f>
        <v/>
      </c>
      <c r="G34" s="22">
        <f>IF('_motor'!$B$614=0,"",SUMPRODUCT('_motor'!$B$586:$B$665*('_motor'!$C$586:$C$665&gt;'_motor'!$C$614))+(SUMPRODUCT('_motor'!$B$586:$B$665*('_motor'!$C$586:$C$665='_motor'!$C$614))+1)/2)</f>
        <v/>
      </c>
      <c r="H34" s="22">
        <f>IF('_motor'!$B$614=0,"",SUMPRODUCT('_motor'!$B$586:$B$665*('_motor'!$D$586:$D$665&gt;'_motor'!$D$614))+(SUMPRODUCT('_motor'!$B$586:$B$665*('_motor'!$D$586:$D$665='_motor'!$D$614))+1)/2)</f>
        <v/>
      </c>
      <c r="I34" s="19">
        <f>IF('_motor'!$B$614=0,"",IF(AND(ABS('_motor'!$C$614-'_motor'!$B$668)&lt;='_motor'!$B$676+0.000000001,ABS('_motor'!$D$614-'_motor'!$B$668)&lt;='_motor'!$B$676+0.000000001),"5 · Pelotón (no concluyente)",IF(AND('_motor'!$C$614&gt;='_motor'!$B$668,'_motor'!$D$614&lt;'_motor'!$B$668),"1 · Entrada / determinante",IF(AND('_motor'!$C$614&gt;='_motor'!$B$668,'_motor'!$D$614&gt;='_motor'!$B$668),"2 · Intermedia / de enlace",IF(AND('_motor'!$C$614&lt;'_motor'!$B$668,'_motor'!$D$614&gt;='_motor'!$B$668),"3 · Resultado","4 · Excluida / autónoma")))))</f>
        <v/>
      </c>
      <c r="J34" s="19">
        <f>IF('_motor'!$B$614=0,"",IF(AND(ABS('_motor'!$C$614-'_motor'!$B$668)&lt;='_motor'!$B$676+0.000000001,ABS('_motor'!$D$614-'_motor'!$B$668)&lt;='_motor'!$B$676+0.000000001),"Reguladora",IF(AND('_motor'!$C$614&gt;='_motor'!$B$668,'_motor'!$D$614&lt;0.5*'_motor'!$B$668),"Determinante / entorno",IF(AND('_motor'!$C$614&gt;='_motor'!$B$668,'_motor'!$D$614&lt;'_motor'!$B$668),"Palanca secundaria",IF(AND('_motor'!$C$614&gt;='_motor'!$B$668,'_motor'!$D$614&gt;='_motor'!$B$668),"Clave / de enlace",IF(AND('_motor'!$D$614&gt;='_motor'!$B$668,'_motor'!$C$614&gt;=0.5*'_motor'!$B$668),"Objetivo",IF('_motor'!$D$614&gt;='_motor'!$B$668,"Resultado","Autónoma")))))))</f>
        <v/>
      </c>
    </row>
    <row r="35" spans="1:10" x14ac:dyDescent="0.2">
      <c r="A35" s="21">
        <f>IF('_motor'!$B$615=0,"",'02 · Variables'!$B$36)</f>
        <v/>
      </c>
      <c r="B35" s="19">
        <f>IF('_motor'!$B$615=0,"",'02 · Variables'!$C$36)</f>
        <v/>
      </c>
      <c r="C35" s="38">
        <f>IF('_motor'!$B$615=0,"",'_motor'!$C$615)</f>
        <v/>
      </c>
      <c r="D35" s="38">
        <f>IF('_motor'!$B$615=0,"",'_motor'!$D$615)</f>
        <v/>
      </c>
      <c r="E35" s="33">
        <f>IF(OR('_motor'!$B$615=0,'_motor'!$B$672=0),"",'_motor'!$C$615/'_motor'!$B$672)</f>
        <v/>
      </c>
      <c r="F35" s="33">
        <f>IF(OR('_motor'!$B$615=0,'_motor'!$B$672=0),"",'_motor'!$D$615/'_motor'!$B$672)</f>
        <v/>
      </c>
      <c r="G35" s="22">
        <f>IF('_motor'!$B$615=0,"",SUMPRODUCT('_motor'!$B$586:$B$665*('_motor'!$C$586:$C$665&gt;'_motor'!$C$615))+(SUMPRODUCT('_motor'!$B$586:$B$665*('_motor'!$C$586:$C$665='_motor'!$C$615))+1)/2)</f>
        <v/>
      </c>
      <c r="H35" s="22">
        <f>IF('_motor'!$B$615=0,"",SUMPRODUCT('_motor'!$B$586:$B$665*('_motor'!$D$586:$D$665&gt;'_motor'!$D$615))+(SUMPRODUCT('_motor'!$B$586:$B$665*('_motor'!$D$586:$D$665='_motor'!$D$615))+1)/2)</f>
        <v/>
      </c>
      <c r="I35" s="19">
        <f>IF('_motor'!$B$615=0,"",IF(AND(ABS('_motor'!$C$615-'_motor'!$B$668)&lt;='_motor'!$B$676+0.000000001,ABS('_motor'!$D$615-'_motor'!$B$668)&lt;='_motor'!$B$676+0.000000001),"5 · Pelotón (no concluyente)",IF(AND('_motor'!$C$615&gt;='_motor'!$B$668,'_motor'!$D$615&lt;'_motor'!$B$668),"1 · Entrada / determinante",IF(AND('_motor'!$C$615&gt;='_motor'!$B$668,'_motor'!$D$615&gt;='_motor'!$B$668),"2 · Intermedia / de enlace",IF(AND('_motor'!$C$615&lt;'_motor'!$B$668,'_motor'!$D$615&gt;='_motor'!$B$668),"3 · Resultado","4 · Excluida / autónoma")))))</f>
        <v/>
      </c>
      <c r="J35" s="19">
        <f>IF('_motor'!$B$615=0,"",IF(AND(ABS('_motor'!$C$615-'_motor'!$B$668)&lt;='_motor'!$B$676+0.000000001,ABS('_motor'!$D$615-'_motor'!$B$668)&lt;='_motor'!$B$676+0.000000001),"Reguladora",IF(AND('_motor'!$C$615&gt;='_motor'!$B$668,'_motor'!$D$615&lt;0.5*'_motor'!$B$668),"Determinante / entorno",IF(AND('_motor'!$C$615&gt;='_motor'!$B$668,'_motor'!$D$615&lt;'_motor'!$B$668),"Palanca secundaria",IF(AND('_motor'!$C$615&gt;='_motor'!$B$668,'_motor'!$D$615&gt;='_motor'!$B$668),"Clave / de enlace",IF(AND('_motor'!$D$615&gt;='_motor'!$B$668,'_motor'!$C$615&gt;=0.5*'_motor'!$B$668),"Objetivo",IF('_motor'!$D$615&gt;='_motor'!$B$668,"Resultado","Autónoma")))))))</f>
        <v/>
      </c>
    </row>
    <row r="36" spans="1:10" x14ac:dyDescent="0.2">
      <c r="A36" s="21">
        <f>IF('_motor'!$B$616=0,"",'02 · Variables'!$B$37)</f>
        <v/>
      </c>
      <c r="B36" s="19">
        <f>IF('_motor'!$B$616=0,"",'02 · Variables'!$C$37)</f>
        <v/>
      </c>
      <c r="C36" s="38">
        <f>IF('_motor'!$B$616=0,"",'_motor'!$C$616)</f>
        <v/>
      </c>
      <c r="D36" s="38">
        <f>IF('_motor'!$B$616=0,"",'_motor'!$D$616)</f>
        <v/>
      </c>
      <c r="E36" s="33">
        <f>IF(OR('_motor'!$B$616=0,'_motor'!$B$672=0),"",'_motor'!$C$616/'_motor'!$B$672)</f>
        <v/>
      </c>
      <c r="F36" s="33">
        <f>IF(OR('_motor'!$B$616=0,'_motor'!$B$672=0),"",'_motor'!$D$616/'_motor'!$B$672)</f>
        <v/>
      </c>
      <c r="G36" s="22">
        <f>IF('_motor'!$B$616=0,"",SUMPRODUCT('_motor'!$B$586:$B$665*('_motor'!$C$586:$C$665&gt;'_motor'!$C$616))+(SUMPRODUCT('_motor'!$B$586:$B$665*('_motor'!$C$586:$C$665='_motor'!$C$616))+1)/2)</f>
        <v/>
      </c>
      <c r="H36" s="22">
        <f>IF('_motor'!$B$616=0,"",SUMPRODUCT('_motor'!$B$586:$B$665*('_motor'!$D$586:$D$665&gt;'_motor'!$D$616))+(SUMPRODUCT('_motor'!$B$586:$B$665*('_motor'!$D$586:$D$665='_motor'!$D$616))+1)/2)</f>
        <v/>
      </c>
      <c r="I36" s="19">
        <f>IF('_motor'!$B$616=0,"",IF(AND(ABS('_motor'!$C$616-'_motor'!$B$668)&lt;='_motor'!$B$676+0.000000001,ABS('_motor'!$D$616-'_motor'!$B$668)&lt;='_motor'!$B$676+0.000000001),"5 · Pelotón (no concluyente)",IF(AND('_motor'!$C$616&gt;='_motor'!$B$668,'_motor'!$D$616&lt;'_motor'!$B$668),"1 · Entrada / determinante",IF(AND('_motor'!$C$616&gt;='_motor'!$B$668,'_motor'!$D$616&gt;='_motor'!$B$668),"2 · Intermedia / de enlace",IF(AND('_motor'!$C$616&lt;'_motor'!$B$668,'_motor'!$D$616&gt;='_motor'!$B$668),"3 · Resultado","4 · Excluida / autónoma")))))</f>
        <v/>
      </c>
      <c r="J36" s="19">
        <f>IF('_motor'!$B$616=0,"",IF(AND(ABS('_motor'!$C$616-'_motor'!$B$668)&lt;='_motor'!$B$676+0.000000001,ABS('_motor'!$D$616-'_motor'!$B$668)&lt;='_motor'!$B$676+0.000000001),"Reguladora",IF(AND('_motor'!$C$616&gt;='_motor'!$B$668,'_motor'!$D$616&lt;0.5*'_motor'!$B$668),"Determinante / entorno",IF(AND('_motor'!$C$616&gt;='_motor'!$B$668,'_motor'!$D$616&lt;'_motor'!$B$668),"Palanca secundaria",IF(AND('_motor'!$C$616&gt;='_motor'!$B$668,'_motor'!$D$616&gt;='_motor'!$B$668),"Clave / de enlace",IF(AND('_motor'!$D$616&gt;='_motor'!$B$668,'_motor'!$C$616&gt;=0.5*'_motor'!$B$668),"Objetivo",IF('_motor'!$D$616&gt;='_motor'!$B$668,"Resultado","Autónoma")))))))</f>
        <v/>
      </c>
    </row>
    <row r="37" spans="1:10" x14ac:dyDescent="0.2">
      <c r="A37" s="21">
        <f>IF('_motor'!$B$617=0,"",'02 · Variables'!$B$38)</f>
        <v/>
      </c>
      <c r="B37" s="19">
        <f>IF('_motor'!$B$617=0,"",'02 · Variables'!$C$38)</f>
        <v/>
      </c>
      <c r="C37" s="38">
        <f>IF('_motor'!$B$617=0,"",'_motor'!$C$617)</f>
        <v/>
      </c>
      <c r="D37" s="38">
        <f>IF('_motor'!$B$617=0,"",'_motor'!$D$617)</f>
        <v/>
      </c>
      <c r="E37" s="33">
        <f>IF(OR('_motor'!$B$617=0,'_motor'!$B$672=0),"",'_motor'!$C$617/'_motor'!$B$672)</f>
        <v/>
      </c>
      <c r="F37" s="33">
        <f>IF(OR('_motor'!$B$617=0,'_motor'!$B$672=0),"",'_motor'!$D$617/'_motor'!$B$672)</f>
        <v/>
      </c>
      <c r="G37" s="22">
        <f>IF('_motor'!$B$617=0,"",SUMPRODUCT('_motor'!$B$586:$B$665*('_motor'!$C$586:$C$665&gt;'_motor'!$C$617))+(SUMPRODUCT('_motor'!$B$586:$B$665*('_motor'!$C$586:$C$665='_motor'!$C$617))+1)/2)</f>
        <v/>
      </c>
      <c r="H37" s="22">
        <f>IF('_motor'!$B$617=0,"",SUMPRODUCT('_motor'!$B$586:$B$665*('_motor'!$D$586:$D$665&gt;'_motor'!$D$617))+(SUMPRODUCT('_motor'!$B$586:$B$665*('_motor'!$D$586:$D$665='_motor'!$D$617))+1)/2)</f>
        <v/>
      </c>
      <c r="I37" s="19">
        <f>IF('_motor'!$B$617=0,"",IF(AND(ABS('_motor'!$C$617-'_motor'!$B$668)&lt;='_motor'!$B$676+0.000000001,ABS('_motor'!$D$617-'_motor'!$B$668)&lt;='_motor'!$B$676+0.000000001),"5 · Pelotón (no concluyente)",IF(AND('_motor'!$C$617&gt;='_motor'!$B$668,'_motor'!$D$617&lt;'_motor'!$B$668),"1 · Entrada / determinante",IF(AND('_motor'!$C$617&gt;='_motor'!$B$668,'_motor'!$D$617&gt;='_motor'!$B$668),"2 · Intermedia / de enlace",IF(AND('_motor'!$C$617&lt;'_motor'!$B$668,'_motor'!$D$617&gt;='_motor'!$B$668),"3 · Resultado","4 · Excluida / autónoma")))))</f>
        <v/>
      </c>
      <c r="J37" s="19">
        <f>IF('_motor'!$B$617=0,"",IF(AND(ABS('_motor'!$C$617-'_motor'!$B$668)&lt;='_motor'!$B$676+0.000000001,ABS('_motor'!$D$617-'_motor'!$B$668)&lt;='_motor'!$B$676+0.000000001),"Reguladora",IF(AND('_motor'!$C$617&gt;='_motor'!$B$668,'_motor'!$D$617&lt;0.5*'_motor'!$B$668),"Determinante / entorno",IF(AND('_motor'!$C$617&gt;='_motor'!$B$668,'_motor'!$D$617&lt;'_motor'!$B$668),"Palanca secundaria",IF(AND('_motor'!$C$617&gt;='_motor'!$B$668,'_motor'!$D$617&gt;='_motor'!$B$668),"Clave / de enlace",IF(AND('_motor'!$D$617&gt;='_motor'!$B$668,'_motor'!$C$617&gt;=0.5*'_motor'!$B$668),"Objetivo",IF('_motor'!$D$617&gt;='_motor'!$B$668,"Resultado","Autónoma")))))))</f>
        <v/>
      </c>
    </row>
    <row r="38" spans="1:10" x14ac:dyDescent="0.2">
      <c r="A38" s="21">
        <f>IF('_motor'!$B$618=0,"",'02 · Variables'!$B$39)</f>
        <v/>
      </c>
      <c r="B38" s="19">
        <f>IF('_motor'!$B$618=0,"",'02 · Variables'!$C$39)</f>
        <v/>
      </c>
      <c r="C38" s="38">
        <f>IF('_motor'!$B$618=0,"",'_motor'!$C$618)</f>
        <v/>
      </c>
      <c r="D38" s="38">
        <f>IF('_motor'!$B$618=0,"",'_motor'!$D$618)</f>
        <v/>
      </c>
      <c r="E38" s="33">
        <f>IF(OR('_motor'!$B$618=0,'_motor'!$B$672=0),"",'_motor'!$C$618/'_motor'!$B$672)</f>
        <v/>
      </c>
      <c r="F38" s="33">
        <f>IF(OR('_motor'!$B$618=0,'_motor'!$B$672=0),"",'_motor'!$D$618/'_motor'!$B$672)</f>
        <v/>
      </c>
      <c r="G38" s="22">
        <f>IF('_motor'!$B$618=0,"",SUMPRODUCT('_motor'!$B$586:$B$665*('_motor'!$C$586:$C$665&gt;'_motor'!$C$618))+(SUMPRODUCT('_motor'!$B$586:$B$665*('_motor'!$C$586:$C$665='_motor'!$C$618))+1)/2)</f>
        <v/>
      </c>
      <c r="H38" s="22">
        <f>IF('_motor'!$B$618=0,"",SUMPRODUCT('_motor'!$B$586:$B$665*('_motor'!$D$586:$D$665&gt;'_motor'!$D$618))+(SUMPRODUCT('_motor'!$B$586:$B$665*('_motor'!$D$586:$D$665='_motor'!$D$618))+1)/2)</f>
        <v/>
      </c>
      <c r="I38" s="19">
        <f>IF('_motor'!$B$618=0,"",IF(AND(ABS('_motor'!$C$618-'_motor'!$B$668)&lt;='_motor'!$B$676+0.000000001,ABS('_motor'!$D$618-'_motor'!$B$668)&lt;='_motor'!$B$676+0.000000001),"5 · Pelotón (no concluyente)",IF(AND('_motor'!$C$618&gt;='_motor'!$B$668,'_motor'!$D$618&lt;'_motor'!$B$668),"1 · Entrada / determinante",IF(AND('_motor'!$C$618&gt;='_motor'!$B$668,'_motor'!$D$618&gt;='_motor'!$B$668),"2 · Intermedia / de enlace",IF(AND('_motor'!$C$618&lt;'_motor'!$B$668,'_motor'!$D$618&gt;='_motor'!$B$668),"3 · Resultado","4 · Excluida / autónoma")))))</f>
        <v/>
      </c>
      <c r="J38" s="19">
        <f>IF('_motor'!$B$618=0,"",IF(AND(ABS('_motor'!$C$618-'_motor'!$B$668)&lt;='_motor'!$B$676+0.000000001,ABS('_motor'!$D$618-'_motor'!$B$668)&lt;='_motor'!$B$676+0.000000001),"Reguladora",IF(AND('_motor'!$C$618&gt;='_motor'!$B$668,'_motor'!$D$618&lt;0.5*'_motor'!$B$668),"Determinante / entorno",IF(AND('_motor'!$C$618&gt;='_motor'!$B$668,'_motor'!$D$618&lt;'_motor'!$B$668),"Palanca secundaria",IF(AND('_motor'!$C$618&gt;='_motor'!$B$668,'_motor'!$D$618&gt;='_motor'!$B$668),"Clave / de enlace",IF(AND('_motor'!$D$618&gt;='_motor'!$B$668,'_motor'!$C$618&gt;=0.5*'_motor'!$B$668),"Objetivo",IF('_motor'!$D$618&gt;='_motor'!$B$668,"Resultado","Autónoma")))))))</f>
        <v/>
      </c>
    </row>
    <row r="39" spans="1:10" x14ac:dyDescent="0.2">
      <c r="A39" s="21">
        <f>IF('_motor'!$B$619=0,"",'02 · Variables'!$B$40)</f>
        <v/>
      </c>
      <c r="B39" s="19">
        <f>IF('_motor'!$B$619=0,"",'02 · Variables'!$C$40)</f>
        <v/>
      </c>
      <c r="C39" s="38">
        <f>IF('_motor'!$B$619=0,"",'_motor'!$C$619)</f>
        <v/>
      </c>
      <c r="D39" s="38">
        <f>IF('_motor'!$B$619=0,"",'_motor'!$D$619)</f>
        <v/>
      </c>
      <c r="E39" s="33">
        <f>IF(OR('_motor'!$B$619=0,'_motor'!$B$672=0),"",'_motor'!$C$619/'_motor'!$B$672)</f>
        <v/>
      </c>
      <c r="F39" s="33">
        <f>IF(OR('_motor'!$B$619=0,'_motor'!$B$672=0),"",'_motor'!$D$619/'_motor'!$B$672)</f>
        <v/>
      </c>
      <c r="G39" s="22">
        <f>IF('_motor'!$B$619=0,"",SUMPRODUCT('_motor'!$B$586:$B$665*('_motor'!$C$586:$C$665&gt;'_motor'!$C$619))+(SUMPRODUCT('_motor'!$B$586:$B$665*('_motor'!$C$586:$C$665='_motor'!$C$619))+1)/2)</f>
        <v/>
      </c>
      <c r="H39" s="22">
        <f>IF('_motor'!$B$619=0,"",SUMPRODUCT('_motor'!$B$586:$B$665*('_motor'!$D$586:$D$665&gt;'_motor'!$D$619))+(SUMPRODUCT('_motor'!$B$586:$B$665*('_motor'!$D$586:$D$665='_motor'!$D$619))+1)/2)</f>
        <v/>
      </c>
      <c r="I39" s="19">
        <f>IF('_motor'!$B$619=0,"",IF(AND(ABS('_motor'!$C$619-'_motor'!$B$668)&lt;='_motor'!$B$676+0.000000001,ABS('_motor'!$D$619-'_motor'!$B$668)&lt;='_motor'!$B$676+0.000000001),"5 · Pelotón (no concluyente)",IF(AND('_motor'!$C$619&gt;='_motor'!$B$668,'_motor'!$D$619&lt;'_motor'!$B$668),"1 · Entrada / determinante",IF(AND('_motor'!$C$619&gt;='_motor'!$B$668,'_motor'!$D$619&gt;='_motor'!$B$668),"2 · Intermedia / de enlace",IF(AND('_motor'!$C$619&lt;'_motor'!$B$668,'_motor'!$D$619&gt;='_motor'!$B$668),"3 · Resultado","4 · Excluida / autónoma")))))</f>
        <v/>
      </c>
      <c r="J39" s="19">
        <f>IF('_motor'!$B$619=0,"",IF(AND(ABS('_motor'!$C$619-'_motor'!$B$668)&lt;='_motor'!$B$676+0.000000001,ABS('_motor'!$D$619-'_motor'!$B$668)&lt;='_motor'!$B$676+0.000000001),"Reguladora",IF(AND('_motor'!$C$619&gt;='_motor'!$B$668,'_motor'!$D$619&lt;0.5*'_motor'!$B$668),"Determinante / entorno",IF(AND('_motor'!$C$619&gt;='_motor'!$B$668,'_motor'!$D$619&lt;'_motor'!$B$668),"Palanca secundaria",IF(AND('_motor'!$C$619&gt;='_motor'!$B$668,'_motor'!$D$619&gt;='_motor'!$B$668),"Clave / de enlace",IF(AND('_motor'!$D$619&gt;='_motor'!$B$668,'_motor'!$C$619&gt;=0.5*'_motor'!$B$668),"Objetivo",IF('_motor'!$D$619&gt;='_motor'!$B$668,"Resultado","Autónoma")))))))</f>
        <v/>
      </c>
    </row>
    <row r="40" spans="1:10" x14ac:dyDescent="0.2">
      <c r="A40" s="21">
        <f>IF('_motor'!$B$620=0,"",'02 · Variables'!$B$41)</f>
        <v/>
      </c>
      <c r="B40" s="19">
        <f>IF('_motor'!$B$620=0,"",'02 · Variables'!$C$41)</f>
        <v/>
      </c>
      <c r="C40" s="38">
        <f>IF('_motor'!$B$620=0,"",'_motor'!$C$620)</f>
        <v/>
      </c>
      <c r="D40" s="38">
        <f>IF('_motor'!$B$620=0,"",'_motor'!$D$620)</f>
        <v/>
      </c>
      <c r="E40" s="33">
        <f>IF(OR('_motor'!$B$620=0,'_motor'!$B$672=0),"",'_motor'!$C$620/'_motor'!$B$672)</f>
        <v/>
      </c>
      <c r="F40" s="33">
        <f>IF(OR('_motor'!$B$620=0,'_motor'!$B$672=0),"",'_motor'!$D$620/'_motor'!$B$672)</f>
        <v/>
      </c>
      <c r="G40" s="22">
        <f>IF('_motor'!$B$620=0,"",SUMPRODUCT('_motor'!$B$586:$B$665*('_motor'!$C$586:$C$665&gt;'_motor'!$C$620))+(SUMPRODUCT('_motor'!$B$586:$B$665*('_motor'!$C$586:$C$665='_motor'!$C$620))+1)/2)</f>
        <v/>
      </c>
      <c r="H40" s="22">
        <f>IF('_motor'!$B$620=0,"",SUMPRODUCT('_motor'!$B$586:$B$665*('_motor'!$D$586:$D$665&gt;'_motor'!$D$620))+(SUMPRODUCT('_motor'!$B$586:$B$665*('_motor'!$D$586:$D$665='_motor'!$D$620))+1)/2)</f>
        <v/>
      </c>
      <c r="I40" s="19">
        <f>IF('_motor'!$B$620=0,"",IF(AND(ABS('_motor'!$C$620-'_motor'!$B$668)&lt;='_motor'!$B$676+0.000000001,ABS('_motor'!$D$620-'_motor'!$B$668)&lt;='_motor'!$B$676+0.000000001),"5 · Pelotón (no concluyente)",IF(AND('_motor'!$C$620&gt;='_motor'!$B$668,'_motor'!$D$620&lt;'_motor'!$B$668),"1 · Entrada / determinante",IF(AND('_motor'!$C$620&gt;='_motor'!$B$668,'_motor'!$D$620&gt;='_motor'!$B$668),"2 · Intermedia / de enlace",IF(AND('_motor'!$C$620&lt;'_motor'!$B$668,'_motor'!$D$620&gt;='_motor'!$B$668),"3 · Resultado","4 · Excluida / autónoma")))))</f>
        <v/>
      </c>
      <c r="J40" s="19">
        <f>IF('_motor'!$B$620=0,"",IF(AND(ABS('_motor'!$C$620-'_motor'!$B$668)&lt;='_motor'!$B$676+0.000000001,ABS('_motor'!$D$620-'_motor'!$B$668)&lt;='_motor'!$B$676+0.000000001),"Reguladora",IF(AND('_motor'!$C$620&gt;='_motor'!$B$668,'_motor'!$D$620&lt;0.5*'_motor'!$B$668),"Determinante / entorno",IF(AND('_motor'!$C$620&gt;='_motor'!$B$668,'_motor'!$D$620&lt;'_motor'!$B$668),"Palanca secundaria",IF(AND('_motor'!$C$620&gt;='_motor'!$B$668,'_motor'!$D$620&gt;='_motor'!$B$668),"Clave / de enlace",IF(AND('_motor'!$D$620&gt;='_motor'!$B$668,'_motor'!$C$620&gt;=0.5*'_motor'!$B$668),"Objetivo",IF('_motor'!$D$620&gt;='_motor'!$B$668,"Resultado","Autónoma")))))))</f>
        <v/>
      </c>
    </row>
    <row r="41" spans="1:10" x14ac:dyDescent="0.2">
      <c r="A41" s="21">
        <f>IF('_motor'!$B$621=0,"",'02 · Variables'!$B$42)</f>
        <v/>
      </c>
      <c r="B41" s="19">
        <f>IF('_motor'!$B$621=0,"",'02 · Variables'!$C$42)</f>
        <v/>
      </c>
      <c r="C41" s="38">
        <f>IF('_motor'!$B$621=0,"",'_motor'!$C$621)</f>
        <v/>
      </c>
      <c r="D41" s="38">
        <f>IF('_motor'!$B$621=0,"",'_motor'!$D$621)</f>
        <v/>
      </c>
      <c r="E41" s="33">
        <f>IF(OR('_motor'!$B$621=0,'_motor'!$B$672=0),"",'_motor'!$C$621/'_motor'!$B$672)</f>
        <v/>
      </c>
      <c r="F41" s="33">
        <f>IF(OR('_motor'!$B$621=0,'_motor'!$B$672=0),"",'_motor'!$D$621/'_motor'!$B$672)</f>
        <v/>
      </c>
      <c r="G41" s="22">
        <f>IF('_motor'!$B$621=0,"",SUMPRODUCT('_motor'!$B$586:$B$665*('_motor'!$C$586:$C$665&gt;'_motor'!$C$621))+(SUMPRODUCT('_motor'!$B$586:$B$665*('_motor'!$C$586:$C$665='_motor'!$C$621))+1)/2)</f>
        <v/>
      </c>
      <c r="H41" s="22">
        <f>IF('_motor'!$B$621=0,"",SUMPRODUCT('_motor'!$B$586:$B$665*('_motor'!$D$586:$D$665&gt;'_motor'!$D$621))+(SUMPRODUCT('_motor'!$B$586:$B$665*('_motor'!$D$586:$D$665='_motor'!$D$621))+1)/2)</f>
        <v/>
      </c>
      <c r="I41" s="19">
        <f>IF('_motor'!$B$621=0,"",IF(AND(ABS('_motor'!$C$621-'_motor'!$B$668)&lt;='_motor'!$B$676+0.000000001,ABS('_motor'!$D$621-'_motor'!$B$668)&lt;='_motor'!$B$676+0.000000001),"5 · Pelotón (no concluyente)",IF(AND('_motor'!$C$621&gt;='_motor'!$B$668,'_motor'!$D$621&lt;'_motor'!$B$668),"1 · Entrada / determinante",IF(AND('_motor'!$C$621&gt;='_motor'!$B$668,'_motor'!$D$621&gt;='_motor'!$B$668),"2 · Intermedia / de enlace",IF(AND('_motor'!$C$621&lt;'_motor'!$B$668,'_motor'!$D$621&gt;='_motor'!$B$668),"3 · Resultado","4 · Excluida / autónoma")))))</f>
        <v/>
      </c>
      <c r="J41" s="19">
        <f>IF('_motor'!$B$621=0,"",IF(AND(ABS('_motor'!$C$621-'_motor'!$B$668)&lt;='_motor'!$B$676+0.000000001,ABS('_motor'!$D$621-'_motor'!$B$668)&lt;='_motor'!$B$676+0.000000001),"Reguladora",IF(AND('_motor'!$C$621&gt;='_motor'!$B$668,'_motor'!$D$621&lt;0.5*'_motor'!$B$668),"Determinante / entorno",IF(AND('_motor'!$C$621&gt;='_motor'!$B$668,'_motor'!$D$621&lt;'_motor'!$B$668),"Palanca secundaria",IF(AND('_motor'!$C$621&gt;='_motor'!$B$668,'_motor'!$D$621&gt;='_motor'!$B$668),"Clave / de enlace",IF(AND('_motor'!$D$621&gt;='_motor'!$B$668,'_motor'!$C$621&gt;=0.5*'_motor'!$B$668),"Objetivo",IF('_motor'!$D$621&gt;='_motor'!$B$668,"Resultado","Autónoma")))))))</f>
        <v/>
      </c>
    </row>
    <row r="42" spans="1:10" x14ac:dyDescent="0.2">
      <c r="A42" s="21">
        <f>IF('_motor'!$B$622=0,"",'02 · Variables'!$B$43)</f>
        <v/>
      </c>
      <c r="B42" s="19">
        <f>IF('_motor'!$B$622=0,"",'02 · Variables'!$C$43)</f>
        <v/>
      </c>
      <c r="C42" s="38">
        <f>IF('_motor'!$B$622=0,"",'_motor'!$C$622)</f>
        <v/>
      </c>
      <c r="D42" s="38">
        <f>IF('_motor'!$B$622=0,"",'_motor'!$D$622)</f>
        <v/>
      </c>
      <c r="E42" s="33">
        <f>IF(OR('_motor'!$B$622=0,'_motor'!$B$672=0),"",'_motor'!$C$622/'_motor'!$B$672)</f>
        <v/>
      </c>
      <c r="F42" s="33">
        <f>IF(OR('_motor'!$B$622=0,'_motor'!$B$672=0),"",'_motor'!$D$622/'_motor'!$B$672)</f>
        <v/>
      </c>
      <c r="G42" s="22">
        <f>IF('_motor'!$B$622=0,"",SUMPRODUCT('_motor'!$B$586:$B$665*('_motor'!$C$586:$C$665&gt;'_motor'!$C$622))+(SUMPRODUCT('_motor'!$B$586:$B$665*('_motor'!$C$586:$C$665='_motor'!$C$622))+1)/2)</f>
        <v/>
      </c>
      <c r="H42" s="22">
        <f>IF('_motor'!$B$622=0,"",SUMPRODUCT('_motor'!$B$586:$B$665*('_motor'!$D$586:$D$665&gt;'_motor'!$D$622))+(SUMPRODUCT('_motor'!$B$586:$B$665*('_motor'!$D$586:$D$665='_motor'!$D$622))+1)/2)</f>
        <v/>
      </c>
      <c r="I42" s="19">
        <f>IF('_motor'!$B$622=0,"",IF(AND(ABS('_motor'!$C$622-'_motor'!$B$668)&lt;='_motor'!$B$676+0.000000001,ABS('_motor'!$D$622-'_motor'!$B$668)&lt;='_motor'!$B$676+0.000000001),"5 · Pelotón (no concluyente)",IF(AND('_motor'!$C$622&gt;='_motor'!$B$668,'_motor'!$D$622&lt;'_motor'!$B$668),"1 · Entrada / determinante",IF(AND('_motor'!$C$622&gt;='_motor'!$B$668,'_motor'!$D$622&gt;='_motor'!$B$668),"2 · Intermedia / de enlace",IF(AND('_motor'!$C$622&lt;'_motor'!$B$668,'_motor'!$D$622&gt;='_motor'!$B$668),"3 · Resultado","4 · Excluida / autónoma")))))</f>
        <v/>
      </c>
      <c r="J42" s="19">
        <f>IF('_motor'!$B$622=0,"",IF(AND(ABS('_motor'!$C$622-'_motor'!$B$668)&lt;='_motor'!$B$676+0.000000001,ABS('_motor'!$D$622-'_motor'!$B$668)&lt;='_motor'!$B$676+0.000000001),"Reguladora",IF(AND('_motor'!$C$622&gt;='_motor'!$B$668,'_motor'!$D$622&lt;0.5*'_motor'!$B$668),"Determinante / entorno",IF(AND('_motor'!$C$622&gt;='_motor'!$B$668,'_motor'!$D$622&lt;'_motor'!$B$668),"Palanca secundaria",IF(AND('_motor'!$C$622&gt;='_motor'!$B$668,'_motor'!$D$622&gt;='_motor'!$B$668),"Clave / de enlace",IF(AND('_motor'!$D$622&gt;='_motor'!$B$668,'_motor'!$C$622&gt;=0.5*'_motor'!$B$668),"Objetivo",IF('_motor'!$D$622&gt;='_motor'!$B$668,"Resultado","Autónoma")))))))</f>
        <v/>
      </c>
    </row>
    <row r="43" spans="1:10" x14ac:dyDescent="0.2">
      <c r="A43" s="21">
        <f>IF('_motor'!$B$623=0,"",'02 · Variables'!$B$44)</f>
        <v/>
      </c>
      <c r="B43" s="19">
        <f>IF('_motor'!$B$623=0,"",'02 · Variables'!$C$44)</f>
        <v/>
      </c>
      <c r="C43" s="38">
        <f>IF('_motor'!$B$623=0,"",'_motor'!$C$623)</f>
        <v/>
      </c>
      <c r="D43" s="38">
        <f>IF('_motor'!$B$623=0,"",'_motor'!$D$623)</f>
        <v/>
      </c>
      <c r="E43" s="33">
        <f>IF(OR('_motor'!$B$623=0,'_motor'!$B$672=0),"",'_motor'!$C$623/'_motor'!$B$672)</f>
        <v/>
      </c>
      <c r="F43" s="33">
        <f>IF(OR('_motor'!$B$623=0,'_motor'!$B$672=0),"",'_motor'!$D$623/'_motor'!$B$672)</f>
        <v/>
      </c>
      <c r="G43" s="22">
        <f>IF('_motor'!$B$623=0,"",SUMPRODUCT('_motor'!$B$586:$B$665*('_motor'!$C$586:$C$665&gt;'_motor'!$C$623))+(SUMPRODUCT('_motor'!$B$586:$B$665*('_motor'!$C$586:$C$665='_motor'!$C$623))+1)/2)</f>
        <v/>
      </c>
      <c r="H43" s="22">
        <f>IF('_motor'!$B$623=0,"",SUMPRODUCT('_motor'!$B$586:$B$665*('_motor'!$D$586:$D$665&gt;'_motor'!$D$623))+(SUMPRODUCT('_motor'!$B$586:$B$665*('_motor'!$D$586:$D$665='_motor'!$D$623))+1)/2)</f>
        <v/>
      </c>
      <c r="I43" s="19">
        <f>IF('_motor'!$B$623=0,"",IF(AND(ABS('_motor'!$C$623-'_motor'!$B$668)&lt;='_motor'!$B$676+0.000000001,ABS('_motor'!$D$623-'_motor'!$B$668)&lt;='_motor'!$B$676+0.000000001),"5 · Pelotón (no concluyente)",IF(AND('_motor'!$C$623&gt;='_motor'!$B$668,'_motor'!$D$623&lt;'_motor'!$B$668),"1 · Entrada / determinante",IF(AND('_motor'!$C$623&gt;='_motor'!$B$668,'_motor'!$D$623&gt;='_motor'!$B$668),"2 · Intermedia / de enlace",IF(AND('_motor'!$C$623&lt;'_motor'!$B$668,'_motor'!$D$623&gt;='_motor'!$B$668),"3 · Resultado","4 · Excluida / autónoma")))))</f>
        <v/>
      </c>
      <c r="J43" s="19">
        <f>IF('_motor'!$B$623=0,"",IF(AND(ABS('_motor'!$C$623-'_motor'!$B$668)&lt;='_motor'!$B$676+0.000000001,ABS('_motor'!$D$623-'_motor'!$B$668)&lt;='_motor'!$B$676+0.000000001),"Reguladora",IF(AND('_motor'!$C$623&gt;='_motor'!$B$668,'_motor'!$D$623&lt;0.5*'_motor'!$B$668),"Determinante / entorno",IF(AND('_motor'!$C$623&gt;='_motor'!$B$668,'_motor'!$D$623&lt;'_motor'!$B$668),"Palanca secundaria",IF(AND('_motor'!$C$623&gt;='_motor'!$B$668,'_motor'!$D$623&gt;='_motor'!$B$668),"Clave / de enlace",IF(AND('_motor'!$D$623&gt;='_motor'!$B$668,'_motor'!$C$623&gt;=0.5*'_motor'!$B$668),"Objetivo",IF('_motor'!$D$623&gt;='_motor'!$B$668,"Resultado","Autónoma")))))))</f>
        <v/>
      </c>
    </row>
    <row r="44" spans="1:10" x14ac:dyDescent="0.2">
      <c r="A44" s="21">
        <f>IF('_motor'!$B$624=0,"",'02 · Variables'!$B$45)</f>
        <v/>
      </c>
      <c r="B44" s="19">
        <f>IF('_motor'!$B$624=0,"",'02 · Variables'!$C$45)</f>
        <v/>
      </c>
      <c r="C44" s="38">
        <f>IF('_motor'!$B$624=0,"",'_motor'!$C$624)</f>
        <v/>
      </c>
      <c r="D44" s="38">
        <f>IF('_motor'!$B$624=0,"",'_motor'!$D$624)</f>
        <v/>
      </c>
      <c r="E44" s="33">
        <f>IF(OR('_motor'!$B$624=0,'_motor'!$B$672=0),"",'_motor'!$C$624/'_motor'!$B$672)</f>
        <v/>
      </c>
      <c r="F44" s="33">
        <f>IF(OR('_motor'!$B$624=0,'_motor'!$B$672=0),"",'_motor'!$D$624/'_motor'!$B$672)</f>
        <v/>
      </c>
      <c r="G44" s="22">
        <f>IF('_motor'!$B$624=0,"",SUMPRODUCT('_motor'!$B$586:$B$665*('_motor'!$C$586:$C$665&gt;'_motor'!$C$624))+(SUMPRODUCT('_motor'!$B$586:$B$665*('_motor'!$C$586:$C$665='_motor'!$C$624))+1)/2)</f>
        <v/>
      </c>
      <c r="H44" s="22">
        <f>IF('_motor'!$B$624=0,"",SUMPRODUCT('_motor'!$B$586:$B$665*('_motor'!$D$586:$D$665&gt;'_motor'!$D$624))+(SUMPRODUCT('_motor'!$B$586:$B$665*('_motor'!$D$586:$D$665='_motor'!$D$624))+1)/2)</f>
        <v/>
      </c>
      <c r="I44" s="19">
        <f>IF('_motor'!$B$624=0,"",IF(AND(ABS('_motor'!$C$624-'_motor'!$B$668)&lt;='_motor'!$B$676+0.000000001,ABS('_motor'!$D$624-'_motor'!$B$668)&lt;='_motor'!$B$676+0.000000001),"5 · Pelotón (no concluyente)",IF(AND('_motor'!$C$624&gt;='_motor'!$B$668,'_motor'!$D$624&lt;'_motor'!$B$668),"1 · Entrada / determinante",IF(AND('_motor'!$C$624&gt;='_motor'!$B$668,'_motor'!$D$624&gt;='_motor'!$B$668),"2 · Intermedia / de enlace",IF(AND('_motor'!$C$624&lt;'_motor'!$B$668,'_motor'!$D$624&gt;='_motor'!$B$668),"3 · Resultado","4 · Excluida / autónoma")))))</f>
        <v/>
      </c>
      <c r="J44" s="19">
        <f>IF('_motor'!$B$624=0,"",IF(AND(ABS('_motor'!$C$624-'_motor'!$B$668)&lt;='_motor'!$B$676+0.000000001,ABS('_motor'!$D$624-'_motor'!$B$668)&lt;='_motor'!$B$676+0.000000001),"Reguladora",IF(AND('_motor'!$C$624&gt;='_motor'!$B$668,'_motor'!$D$624&lt;0.5*'_motor'!$B$668),"Determinante / entorno",IF(AND('_motor'!$C$624&gt;='_motor'!$B$668,'_motor'!$D$624&lt;'_motor'!$B$668),"Palanca secundaria",IF(AND('_motor'!$C$624&gt;='_motor'!$B$668,'_motor'!$D$624&gt;='_motor'!$B$668),"Clave / de enlace",IF(AND('_motor'!$D$624&gt;='_motor'!$B$668,'_motor'!$C$624&gt;=0.5*'_motor'!$B$668),"Objetivo",IF('_motor'!$D$624&gt;='_motor'!$B$668,"Resultado","Autónoma")))))))</f>
        <v/>
      </c>
    </row>
    <row r="45" spans="1:10" x14ac:dyDescent="0.2">
      <c r="A45" s="21">
        <f>IF('_motor'!$B$625=0,"",'02 · Variables'!$B$46)</f>
        <v/>
      </c>
      <c r="B45" s="19">
        <f>IF('_motor'!$B$625=0,"",'02 · Variables'!$C$46)</f>
        <v/>
      </c>
      <c r="C45" s="38">
        <f>IF('_motor'!$B$625=0,"",'_motor'!$C$625)</f>
        <v/>
      </c>
      <c r="D45" s="38">
        <f>IF('_motor'!$B$625=0,"",'_motor'!$D$625)</f>
        <v/>
      </c>
      <c r="E45" s="33">
        <f>IF(OR('_motor'!$B$625=0,'_motor'!$B$672=0),"",'_motor'!$C$625/'_motor'!$B$672)</f>
        <v/>
      </c>
      <c r="F45" s="33">
        <f>IF(OR('_motor'!$B$625=0,'_motor'!$B$672=0),"",'_motor'!$D$625/'_motor'!$B$672)</f>
        <v/>
      </c>
      <c r="G45" s="22">
        <f>IF('_motor'!$B$625=0,"",SUMPRODUCT('_motor'!$B$586:$B$665*('_motor'!$C$586:$C$665&gt;'_motor'!$C$625))+(SUMPRODUCT('_motor'!$B$586:$B$665*('_motor'!$C$586:$C$665='_motor'!$C$625))+1)/2)</f>
        <v/>
      </c>
      <c r="H45" s="22">
        <f>IF('_motor'!$B$625=0,"",SUMPRODUCT('_motor'!$B$586:$B$665*('_motor'!$D$586:$D$665&gt;'_motor'!$D$625))+(SUMPRODUCT('_motor'!$B$586:$B$665*('_motor'!$D$586:$D$665='_motor'!$D$625))+1)/2)</f>
        <v/>
      </c>
      <c r="I45" s="19">
        <f>IF('_motor'!$B$625=0,"",IF(AND(ABS('_motor'!$C$625-'_motor'!$B$668)&lt;='_motor'!$B$676+0.000000001,ABS('_motor'!$D$625-'_motor'!$B$668)&lt;='_motor'!$B$676+0.000000001),"5 · Pelotón (no concluyente)",IF(AND('_motor'!$C$625&gt;='_motor'!$B$668,'_motor'!$D$625&lt;'_motor'!$B$668),"1 · Entrada / determinante",IF(AND('_motor'!$C$625&gt;='_motor'!$B$668,'_motor'!$D$625&gt;='_motor'!$B$668),"2 · Intermedia / de enlace",IF(AND('_motor'!$C$625&lt;'_motor'!$B$668,'_motor'!$D$625&gt;='_motor'!$B$668),"3 · Resultado","4 · Excluida / autónoma")))))</f>
        <v/>
      </c>
      <c r="J45" s="19">
        <f>IF('_motor'!$B$625=0,"",IF(AND(ABS('_motor'!$C$625-'_motor'!$B$668)&lt;='_motor'!$B$676+0.000000001,ABS('_motor'!$D$625-'_motor'!$B$668)&lt;='_motor'!$B$676+0.000000001),"Reguladora",IF(AND('_motor'!$C$625&gt;='_motor'!$B$668,'_motor'!$D$625&lt;0.5*'_motor'!$B$668),"Determinante / entorno",IF(AND('_motor'!$C$625&gt;='_motor'!$B$668,'_motor'!$D$625&lt;'_motor'!$B$668),"Palanca secundaria",IF(AND('_motor'!$C$625&gt;='_motor'!$B$668,'_motor'!$D$625&gt;='_motor'!$B$668),"Clave / de enlace",IF(AND('_motor'!$D$625&gt;='_motor'!$B$668,'_motor'!$C$625&gt;=0.5*'_motor'!$B$668),"Objetivo",IF('_motor'!$D$625&gt;='_motor'!$B$668,"Resultado","Autónoma")))))))</f>
        <v/>
      </c>
    </row>
    <row r="46" spans="1:10" x14ac:dyDescent="0.2">
      <c r="A46" s="21">
        <f>IF('_motor'!$B$626=0,"",'02 · Variables'!$B$47)</f>
        <v/>
      </c>
      <c r="B46" s="19">
        <f>IF('_motor'!$B$626=0,"",'02 · Variables'!$C$47)</f>
        <v/>
      </c>
      <c r="C46" s="38">
        <f>IF('_motor'!$B$626=0,"",'_motor'!$C$626)</f>
        <v/>
      </c>
      <c r="D46" s="38">
        <f>IF('_motor'!$B$626=0,"",'_motor'!$D$626)</f>
        <v/>
      </c>
      <c r="E46" s="33">
        <f>IF(OR('_motor'!$B$626=0,'_motor'!$B$672=0),"",'_motor'!$C$626/'_motor'!$B$672)</f>
        <v/>
      </c>
      <c r="F46" s="33">
        <f>IF(OR('_motor'!$B$626=0,'_motor'!$B$672=0),"",'_motor'!$D$626/'_motor'!$B$672)</f>
        <v/>
      </c>
      <c r="G46" s="22">
        <f>IF('_motor'!$B$626=0,"",SUMPRODUCT('_motor'!$B$586:$B$665*('_motor'!$C$586:$C$665&gt;'_motor'!$C$626))+(SUMPRODUCT('_motor'!$B$586:$B$665*('_motor'!$C$586:$C$665='_motor'!$C$626))+1)/2)</f>
        <v/>
      </c>
      <c r="H46" s="22">
        <f>IF('_motor'!$B$626=0,"",SUMPRODUCT('_motor'!$B$586:$B$665*('_motor'!$D$586:$D$665&gt;'_motor'!$D$626))+(SUMPRODUCT('_motor'!$B$586:$B$665*('_motor'!$D$586:$D$665='_motor'!$D$626))+1)/2)</f>
        <v/>
      </c>
      <c r="I46" s="19">
        <f>IF('_motor'!$B$626=0,"",IF(AND(ABS('_motor'!$C$626-'_motor'!$B$668)&lt;='_motor'!$B$676+0.000000001,ABS('_motor'!$D$626-'_motor'!$B$668)&lt;='_motor'!$B$676+0.000000001),"5 · Pelotón (no concluyente)",IF(AND('_motor'!$C$626&gt;='_motor'!$B$668,'_motor'!$D$626&lt;'_motor'!$B$668),"1 · Entrada / determinante",IF(AND('_motor'!$C$626&gt;='_motor'!$B$668,'_motor'!$D$626&gt;='_motor'!$B$668),"2 · Intermedia / de enlace",IF(AND('_motor'!$C$626&lt;'_motor'!$B$668,'_motor'!$D$626&gt;='_motor'!$B$668),"3 · Resultado","4 · Excluida / autónoma")))))</f>
        <v/>
      </c>
      <c r="J46" s="19">
        <f>IF('_motor'!$B$626=0,"",IF(AND(ABS('_motor'!$C$626-'_motor'!$B$668)&lt;='_motor'!$B$676+0.000000001,ABS('_motor'!$D$626-'_motor'!$B$668)&lt;='_motor'!$B$676+0.000000001),"Reguladora",IF(AND('_motor'!$C$626&gt;='_motor'!$B$668,'_motor'!$D$626&lt;0.5*'_motor'!$B$668),"Determinante / entorno",IF(AND('_motor'!$C$626&gt;='_motor'!$B$668,'_motor'!$D$626&lt;'_motor'!$B$668),"Palanca secundaria",IF(AND('_motor'!$C$626&gt;='_motor'!$B$668,'_motor'!$D$626&gt;='_motor'!$B$668),"Clave / de enlace",IF(AND('_motor'!$D$626&gt;='_motor'!$B$668,'_motor'!$C$626&gt;=0.5*'_motor'!$B$668),"Objetivo",IF('_motor'!$D$626&gt;='_motor'!$B$668,"Resultado","Autónoma")))))))</f>
        <v/>
      </c>
    </row>
    <row r="47" spans="1:10" x14ac:dyDescent="0.2">
      <c r="A47" s="21">
        <f>IF('_motor'!$B$627=0,"",'02 · Variables'!$B$48)</f>
        <v/>
      </c>
      <c r="B47" s="19">
        <f>IF('_motor'!$B$627=0,"",'02 · Variables'!$C$48)</f>
        <v/>
      </c>
      <c r="C47" s="38">
        <f>IF('_motor'!$B$627=0,"",'_motor'!$C$627)</f>
        <v/>
      </c>
      <c r="D47" s="38">
        <f>IF('_motor'!$B$627=0,"",'_motor'!$D$627)</f>
        <v/>
      </c>
      <c r="E47" s="33">
        <f>IF(OR('_motor'!$B$627=0,'_motor'!$B$672=0),"",'_motor'!$C$627/'_motor'!$B$672)</f>
        <v/>
      </c>
      <c r="F47" s="33">
        <f>IF(OR('_motor'!$B$627=0,'_motor'!$B$672=0),"",'_motor'!$D$627/'_motor'!$B$672)</f>
        <v/>
      </c>
      <c r="G47" s="22">
        <f>IF('_motor'!$B$627=0,"",SUMPRODUCT('_motor'!$B$586:$B$665*('_motor'!$C$586:$C$665&gt;'_motor'!$C$627))+(SUMPRODUCT('_motor'!$B$586:$B$665*('_motor'!$C$586:$C$665='_motor'!$C$627))+1)/2)</f>
        <v/>
      </c>
      <c r="H47" s="22">
        <f>IF('_motor'!$B$627=0,"",SUMPRODUCT('_motor'!$B$586:$B$665*('_motor'!$D$586:$D$665&gt;'_motor'!$D$627))+(SUMPRODUCT('_motor'!$B$586:$B$665*('_motor'!$D$586:$D$665='_motor'!$D$627))+1)/2)</f>
        <v/>
      </c>
      <c r="I47" s="19">
        <f>IF('_motor'!$B$627=0,"",IF(AND(ABS('_motor'!$C$627-'_motor'!$B$668)&lt;='_motor'!$B$676+0.000000001,ABS('_motor'!$D$627-'_motor'!$B$668)&lt;='_motor'!$B$676+0.000000001),"5 · Pelotón (no concluyente)",IF(AND('_motor'!$C$627&gt;='_motor'!$B$668,'_motor'!$D$627&lt;'_motor'!$B$668),"1 · Entrada / determinante",IF(AND('_motor'!$C$627&gt;='_motor'!$B$668,'_motor'!$D$627&gt;='_motor'!$B$668),"2 · Intermedia / de enlace",IF(AND('_motor'!$C$627&lt;'_motor'!$B$668,'_motor'!$D$627&gt;='_motor'!$B$668),"3 · Resultado","4 · Excluida / autónoma")))))</f>
        <v/>
      </c>
      <c r="J47" s="19">
        <f>IF('_motor'!$B$627=0,"",IF(AND(ABS('_motor'!$C$627-'_motor'!$B$668)&lt;='_motor'!$B$676+0.000000001,ABS('_motor'!$D$627-'_motor'!$B$668)&lt;='_motor'!$B$676+0.000000001),"Reguladora",IF(AND('_motor'!$C$627&gt;='_motor'!$B$668,'_motor'!$D$627&lt;0.5*'_motor'!$B$668),"Determinante / entorno",IF(AND('_motor'!$C$627&gt;='_motor'!$B$668,'_motor'!$D$627&lt;'_motor'!$B$668),"Palanca secundaria",IF(AND('_motor'!$C$627&gt;='_motor'!$B$668,'_motor'!$D$627&gt;='_motor'!$B$668),"Clave / de enlace",IF(AND('_motor'!$D$627&gt;='_motor'!$B$668,'_motor'!$C$627&gt;=0.5*'_motor'!$B$668),"Objetivo",IF('_motor'!$D$627&gt;='_motor'!$B$668,"Resultado","Autónoma")))))))</f>
        <v/>
      </c>
    </row>
    <row r="48" spans="1:10" x14ac:dyDescent="0.2">
      <c r="A48" s="21">
        <f>IF('_motor'!$B$628=0,"",'02 · Variables'!$B$49)</f>
        <v/>
      </c>
      <c r="B48" s="19">
        <f>IF('_motor'!$B$628=0,"",'02 · Variables'!$C$49)</f>
        <v/>
      </c>
      <c r="C48" s="38">
        <f>IF('_motor'!$B$628=0,"",'_motor'!$C$628)</f>
        <v/>
      </c>
      <c r="D48" s="38">
        <f>IF('_motor'!$B$628=0,"",'_motor'!$D$628)</f>
        <v/>
      </c>
      <c r="E48" s="33">
        <f>IF(OR('_motor'!$B$628=0,'_motor'!$B$672=0),"",'_motor'!$C$628/'_motor'!$B$672)</f>
        <v/>
      </c>
      <c r="F48" s="33">
        <f>IF(OR('_motor'!$B$628=0,'_motor'!$B$672=0),"",'_motor'!$D$628/'_motor'!$B$672)</f>
        <v/>
      </c>
      <c r="G48" s="22">
        <f>IF('_motor'!$B$628=0,"",SUMPRODUCT('_motor'!$B$586:$B$665*('_motor'!$C$586:$C$665&gt;'_motor'!$C$628))+(SUMPRODUCT('_motor'!$B$586:$B$665*('_motor'!$C$586:$C$665='_motor'!$C$628))+1)/2)</f>
        <v/>
      </c>
      <c r="H48" s="22">
        <f>IF('_motor'!$B$628=0,"",SUMPRODUCT('_motor'!$B$586:$B$665*('_motor'!$D$586:$D$665&gt;'_motor'!$D$628))+(SUMPRODUCT('_motor'!$B$586:$B$665*('_motor'!$D$586:$D$665='_motor'!$D$628))+1)/2)</f>
        <v/>
      </c>
      <c r="I48" s="19">
        <f>IF('_motor'!$B$628=0,"",IF(AND(ABS('_motor'!$C$628-'_motor'!$B$668)&lt;='_motor'!$B$676+0.000000001,ABS('_motor'!$D$628-'_motor'!$B$668)&lt;='_motor'!$B$676+0.000000001),"5 · Pelotón (no concluyente)",IF(AND('_motor'!$C$628&gt;='_motor'!$B$668,'_motor'!$D$628&lt;'_motor'!$B$668),"1 · Entrada / determinante",IF(AND('_motor'!$C$628&gt;='_motor'!$B$668,'_motor'!$D$628&gt;='_motor'!$B$668),"2 · Intermedia / de enlace",IF(AND('_motor'!$C$628&lt;'_motor'!$B$668,'_motor'!$D$628&gt;='_motor'!$B$668),"3 · Resultado","4 · Excluida / autónoma")))))</f>
        <v/>
      </c>
      <c r="J48" s="19">
        <f>IF('_motor'!$B$628=0,"",IF(AND(ABS('_motor'!$C$628-'_motor'!$B$668)&lt;='_motor'!$B$676+0.000000001,ABS('_motor'!$D$628-'_motor'!$B$668)&lt;='_motor'!$B$676+0.000000001),"Reguladora",IF(AND('_motor'!$C$628&gt;='_motor'!$B$668,'_motor'!$D$628&lt;0.5*'_motor'!$B$668),"Determinante / entorno",IF(AND('_motor'!$C$628&gt;='_motor'!$B$668,'_motor'!$D$628&lt;'_motor'!$B$668),"Palanca secundaria",IF(AND('_motor'!$C$628&gt;='_motor'!$B$668,'_motor'!$D$628&gt;='_motor'!$B$668),"Clave / de enlace",IF(AND('_motor'!$D$628&gt;='_motor'!$B$668,'_motor'!$C$628&gt;=0.5*'_motor'!$B$668),"Objetivo",IF('_motor'!$D$628&gt;='_motor'!$B$668,"Resultado","Autónoma")))))))</f>
        <v/>
      </c>
    </row>
    <row r="49" spans="1:10" x14ac:dyDescent="0.2">
      <c r="A49" s="21">
        <f>IF('_motor'!$B$629=0,"",'02 · Variables'!$B$50)</f>
        <v/>
      </c>
      <c r="B49" s="19">
        <f>IF('_motor'!$B$629=0,"",'02 · Variables'!$C$50)</f>
        <v/>
      </c>
      <c r="C49" s="38">
        <f>IF('_motor'!$B$629=0,"",'_motor'!$C$629)</f>
        <v/>
      </c>
      <c r="D49" s="38">
        <f>IF('_motor'!$B$629=0,"",'_motor'!$D$629)</f>
        <v/>
      </c>
      <c r="E49" s="33">
        <f>IF(OR('_motor'!$B$629=0,'_motor'!$B$672=0),"",'_motor'!$C$629/'_motor'!$B$672)</f>
        <v/>
      </c>
      <c r="F49" s="33">
        <f>IF(OR('_motor'!$B$629=0,'_motor'!$B$672=0),"",'_motor'!$D$629/'_motor'!$B$672)</f>
        <v/>
      </c>
      <c r="G49" s="22">
        <f>IF('_motor'!$B$629=0,"",SUMPRODUCT('_motor'!$B$586:$B$665*('_motor'!$C$586:$C$665&gt;'_motor'!$C$629))+(SUMPRODUCT('_motor'!$B$586:$B$665*('_motor'!$C$586:$C$665='_motor'!$C$629))+1)/2)</f>
        <v/>
      </c>
      <c r="H49" s="22">
        <f>IF('_motor'!$B$629=0,"",SUMPRODUCT('_motor'!$B$586:$B$665*('_motor'!$D$586:$D$665&gt;'_motor'!$D$629))+(SUMPRODUCT('_motor'!$B$586:$B$665*('_motor'!$D$586:$D$665='_motor'!$D$629))+1)/2)</f>
        <v/>
      </c>
      <c r="I49" s="19">
        <f>IF('_motor'!$B$629=0,"",IF(AND(ABS('_motor'!$C$629-'_motor'!$B$668)&lt;='_motor'!$B$676+0.000000001,ABS('_motor'!$D$629-'_motor'!$B$668)&lt;='_motor'!$B$676+0.000000001),"5 · Pelotón (no concluyente)",IF(AND('_motor'!$C$629&gt;='_motor'!$B$668,'_motor'!$D$629&lt;'_motor'!$B$668),"1 · Entrada / determinante",IF(AND('_motor'!$C$629&gt;='_motor'!$B$668,'_motor'!$D$629&gt;='_motor'!$B$668),"2 · Intermedia / de enlace",IF(AND('_motor'!$C$629&lt;'_motor'!$B$668,'_motor'!$D$629&gt;='_motor'!$B$668),"3 · Resultado","4 · Excluida / autónoma")))))</f>
        <v/>
      </c>
      <c r="J49" s="19">
        <f>IF('_motor'!$B$629=0,"",IF(AND(ABS('_motor'!$C$629-'_motor'!$B$668)&lt;='_motor'!$B$676+0.000000001,ABS('_motor'!$D$629-'_motor'!$B$668)&lt;='_motor'!$B$676+0.000000001),"Reguladora",IF(AND('_motor'!$C$629&gt;='_motor'!$B$668,'_motor'!$D$629&lt;0.5*'_motor'!$B$668),"Determinante / entorno",IF(AND('_motor'!$C$629&gt;='_motor'!$B$668,'_motor'!$D$629&lt;'_motor'!$B$668),"Palanca secundaria",IF(AND('_motor'!$C$629&gt;='_motor'!$B$668,'_motor'!$D$629&gt;='_motor'!$B$668),"Clave / de enlace",IF(AND('_motor'!$D$629&gt;='_motor'!$B$668,'_motor'!$C$629&gt;=0.5*'_motor'!$B$668),"Objetivo",IF('_motor'!$D$629&gt;='_motor'!$B$668,"Resultado","Autónoma")))))))</f>
        <v/>
      </c>
    </row>
    <row r="50" spans="1:10" x14ac:dyDescent="0.2">
      <c r="A50" s="21">
        <f>IF('_motor'!$B$630=0,"",'02 · Variables'!$B$51)</f>
        <v/>
      </c>
      <c r="B50" s="19">
        <f>IF('_motor'!$B$630=0,"",'02 · Variables'!$C$51)</f>
        <v/>
      </c>
      <c r="C50" s="38">
        <f>IF('_motor'!$B$630=0,"",'_motor'!$C$630)</f>
        <v/>
      </c>
      <c r="D50" s="38">
        <f>IF('_motor'!$B$630=0,"",'_motor'!$D$630)</f>
        <v/>
      </c>
      <c r="E50" s="33">
        <f>IF(OR('_motor'!$B$630=0,'_motor'!$B$672=0),"",'_motor'!$C$630/'_motor'!$B$672)</f>
        <v/>
      </c>
      <c r="F50" s="33">
        <f>IF(OR('_motor'!$B$630=0,'_motor'!$B$672=0),"",'_motor'!$D$630/'_motor'!$B$672)</f>
        <v/>
      </c>
      <c r="G50" s="22">
        <f>IF('_motor'!$B$630=0,"",SUMPRODUCT('_motor'!$B$586:$B$665*('_motor'!$C$586:$C$665&gt;'_motor'!$C$630))+(SUMPRODUCT('_motor'!$B$586:$B$665*('_motor'!$C$586:$C$665='_motor'!$C$630))+1)/2)</f>
        <v/>
      </c>
      <c r="H50" s="22">
        <f>IF('_motor'!$B$630=0,"",SUMPRODUCT('_motor'!$B$586:$B$665*('_motor'!$D$586:$D$665&gt;'_motor'!$D$630))+(SUMPRODUCT('_motor'!$B$586:$B$665*('_motor'!$D$586:$D$665='_motor'!$D$630))+1)/2)</f>
        <v/>
      </c>
      <c r="I50" s="19">
        <f>IF('_motor'!$B$630=0,"",IF(AND(ABS('_motor'!$C$630-'_motor'!$B$668)&lt;='_motor'!$B$676+0.000000001,ABS('_motor'!$D$630-'_motor'!$B$668)&lt;='_motor'!$B$676+0.000000001),"5 · Pelotón (no concluyente)",IF(AND('_motor'!$C$630&gt;='_motor'!$B$668,'_motor'!$D$630&lt;'_motor'!$B$668),"1 · Entrada / determinante",IF(AND('_motor'!$C$630&gt;='_motor'!$B$668,'_motor'!$D$630&gt;='_motor'!$B$668),"2 · Intermedia / de enlace",IF(AND('_motor'!$C$630&lt;'_motor'!$B$668,'_motor'!$D$630&gt;='_motor'!$B$668),"3 · Resultado","4 · Excluida / autónoma")))))</f>
        <v/>
      </c>
      <c r="J50" s="19">
        <f>IF('_motor'!$B$630=0,"",IF(AND(ABS('_motor'!$C$630-'_motor'!$B$668)&lt;='_motor'!$B$676+0.000000001,ABS('_motor'!$D$630-'_motor'!$B$668)&lt;='_motor'!$B$676+0.000000001),"Reguladora",IF(AND('_motor'!$C$630&gt;='_motor'!$B$668,'_motor'!$D$630&lt;0.5*'_motor'!$B$668),"Determinante / entorno",IF(AND('_motor'!$C$630&gt;='_motor'!$B$668,'_motor'!$D$630&lt;'_motor'!$B$668),"Palanca secundaria",IF(AND('_motor'!$C$630&gt;='_motor'!$B$668,'_motor'!$D$630&gt;='_motor'!$B$668),"Clave / de enlace",IF(AND('_motor'!$D$630&gt;='_motor'!$B$668,'_motor'!$C$630&gt;=0.5*'_motor'!$B$668),"Objetivo",IF('_motor'!$D$630&gt;='_motor'!$B$668,"Resultado","Autónoma")))))))</f>
        <v/>
      </c>
    </row>
    <row r="51" spans="1:10" x14ac:dyDescent="0.2">
      <c r="A51" s="21">
        <f>IF('_motor'!$B$631=0,"",'02 · Variables'!$B$52)</f>
        <v/>
      </c>
      <c r="B51" s="19">
        <f>IF('_motor'!$B$631=0,"",'02 · Variables'!$C$52)</f>
        <v/>
      </c>
      <c r="C51" s="38">
        <f>IF('_motor'!$B$631=0,"",'_motor'!$C$631)</f>
        <v/>
      </c>
      <c r="D51" s="38">
        <f>IF('_motor'!$B$631=0,"",'_motor'!$D$631)</f>
        <v/>
      </c>
      <c r="E51" s="33">
        <f>IF(OR('_motor'!$B$631=0,'_motor'!$B$672=0),"",'_motor'!$C$631/'_motor'!$B$672)</f>
        <v/>
      </c>
      <c r="F51" s="33">
        <f>IF(OR('_motor'!$B$631=0,'_motor'!$B$672=0),"",'_motor'!$D$631/'_motor'!$B$672)</f>
        <v/>
      </c>
      <c r="G51" s="22">
        <f>IF('_motor'!$B$631=0,"",SUMPRODUCT('_motor'!$B$586:$B$665*('_motor'!$C$586:$C$665&gt;'_motor'!$C$631))+(SUMPRODUCT('_motor'!$B$586:$B$665*('_motor'!$C$586:$C$665='_motor'!$C$631))+1)/2)</f>
        <v/>
      </c>
      <c r="H51" s="22">
        <f>IF('_motor'!$B$631=0,"",SUMPRODUCT('_motor'!$B$586:$B$665*('_motor'!$D$586:$D$665&gt;'_motor'!$D$631))+(SUMPRODUCT('_motor'!$B$586:$B$665*('_motor'!$D$586:$D$665='_motor'!$D$631))+1)/2)</f>
        <v/>
      </c>
      <c r="I51" s="19">
        <f>IF('_motor'!$B$631=0,"",IF(AND(ABS('_motor'!$C$631-'_motor'!$B$668)&lt;='_motor'!$B$676+0.000000001,ABS('_motor'!$D$631-'_motor'!$B$668)&lt;='_motor'!$B$676+0.000000001),"5 · Pelotón (no concluyente)",IF(AND('_motor'!$C$631&gt;='_motor'!$B$668,'_motor'!$D$631&lt;'_motor'!$B$668),"1 · Entrada / determinante",IF(AND('_motor'!$C$631&gt;='_motor'!$B$668,'_motor'!$D$631&gt;='_motor'!$B$668),"2 · Intermedia / de enlace",IF(AND('_motor'!$C$631&lt;'_motor'!$B$668,'_motor'!$D$631&gt;='_motor'!$B$668),"3 · Resultado","4 · Excluida / autónoma")))))</f>
        <v/>
      </c>
      <c r="J51" s="19">
        <f>IF('_motor'!$B$631=0,"",IF(AND(ABS('_motor'!$C$631-'_motor'!$B$668)&lt;='_motor'!$B$676+0.000000001,ABS('_motor'!$D$631-'_motor'!$B$668)&lt;='_motor'!$B$676+0.000000001),"Reguladora",IF(AND('_motor'!$C$631&gt;='_motor'!$B$668,'_motor'!$D$631&lt;0.5*'_motor'!$B$668),"Determinante / entorno",IF(AND('_motor'!$C$631&gt;='_motor'!$B$668,'_motor'!$D$631&lt;'_motor'!$B$668),"Palanca secundaria",IF(AND('_motor'!$C$631&gt;='_motor'!$B$668,'_motor'!$D$631&gt;='_motor'!$B$668),"Clave / de enlace",IF(AND('_motor'!$D$631&gt;='_motor'!$B$668,'_motor'!$C$631&gt;=0.5*'_motor'!$B$668),"Objetivo",IF('_motor'!$D$631&gt;='_motor'!$B$668,"Resultado","Autónoma")))))))</f>
        <v/>
      </c>
    </row>
    <row r="52" spans="1:10" x14ac:dyDescent="0.2">
      <c r="A52" s="21">
        <f>IF('_motor'!$B$632=0,"",'02 · Variables'!$B$53)</f>
        <v/>
      </c>
      <c r="B52" s="19">
        <f>IF('_motor'!$B$632=0,"",'02 · Variables'!$C$53)</f>
        <v/>
      </c>
      <c r="C52" s="38">
        <f>IF('_motor'!$B$632=0,"",'_motor'!$C$632)</f>
        <v/>
      </c>
      <c r="D52" s="38">
        <f>IF('_motor'!$B$632=0,"",'_motor'!$D$632)</f>
        <v/>
      </c>
      <c r="E52" s="33">
        <f>IF(OR('_motor'!$B$632=0,'_motor'!$B$672=0),"",'_motor'!$C$632/'_motor'!$B$672)</f>
        <v/>
      </c>
      <c r="F52" s="33">
        <f>IF(OR('_motor'!$B$632=0,'_motor'!$B$672=0),"",'_motor'!$D$632/'_motor'!$B$672)</f>
        <v/>
      </c>
      <c r="G52" s="22">
        <f>IF('_motor'!$B$632=0,"",SUMPRODUCT('_motor'!$B$586:$B$665*('_motor'!$C$586:$C$665&gt;'_motor'!$C$632))+(SUMPRODUCT('_motor'!$B$586:$B$665*('_motor'!$C$586:$C$665='_motor'!$C$632))+1)/2)</f>
        <v/>
      </c>
      <c r="H52" s="22">
        <f>IF('_motor'!$B$632=0,"",SUMPRODUCT('_motor'!$B$586:$B$665*('_motor'!$D$586:$D$665&gt;'_motor'!$D$632))+(SUMPRODUCT('_motor'!$B$586:$B$665*('_motor'!$D$586:$D$665='_motor'!$D$632))+1)/2)</f>
        <v/>
      </c>
      <c r="I52" s="19">
        <f>IF('_motor'!$B$632=0,"",IF(AND(ABS('_motor'!$C$632-'_motor'!$B$668)&lt;='_motor'!$B$676+0.000000001,ABS('_motor'!$D$632-'_motor'!$B$668)&lt;='_motor'!$B$676+0.000000001),"5 · Pelotón (no concluyente)",IF(AND('_motor'!$C$632&gt;='_motor'!$B$668,'_motor'!$D$632&lt;'_motor'!$B$668),"1 · Entrada / determinante",IF(AND('_motor'!$C$632&gt;='_motor'!$B$668,'_motor'!$D$632&gt;='_motor'!$B$668),"2 · Intermedia / de enlace",IF(AND('_motor'!$C$632&lt;'_motor'!$B$668,'_motor'!$D$632&gt;='_motor'!$B$668),"3 · Resultado","4 · Excluida / autónoma")))))</f>
        <v/>
      </c>
      <c r="J52" s="19">
        <f>IF('_motor'!$B$632=0,"",IF(AND(ABS('_motor'!$C$632-'_motor'!$B$668)&lt;='_motor'!$B$676+0.000000001,ABS('_motor'!$D$632-'_motor'!$B$668)&lt;='_motor'!$B$676+0.000000001),"Reguladora",IF(AND('_motor'!$C$632&gt;='_motor'!$B$668,'_motor'!$D$632&lt;0.5*'_motor'!$B$668),"Determinante / entorno",IF(AND('_motor'!$C$632&gt;='_motor'!$B$668,'_motor'!$D$632&lt;'_motor'!$B$668),"Palanca secundaria",IF(AND('_motor'!$C$632&gt;='_motor'!$B$668,'_motor'!$D$632&gt;='_motor'!$B$668),"Clave / de enlace",IF(AND('_motor'!$D$632&gt;='_motor'!$B$668,'_motor'!$C$632&gt;=0.5*'_motor'!$B$668),"Objetivo",IF('_motor'!$D$632&gt;='_motor'!$B$668,"Resultado","Autónoma")))))))</f>
        <v/>
      </c>
    </row>
    <row r="53" spans="1:10" x14ac:dyDescent="0.2">
      <c r="A53" s="21">
        <f>IF('_motor'!$B$633=0,"",'02 · Variables'!$B$54)</f>
        <v/>
      </c>
      <c r="B53" s="19">
        <f>IF('_motor'!$B$633=0,"",'02 · Variables'!$C$54)</f>
        <v/>
      </c>
      <c r="C53" s="38">
        <f>IF('_motor'!$B$633=0,"",'_motor'!$C$633)</f>
        <v/>
      </c>
      <c r="D53" s="38">
        <f>IF('_motor'!$B$633=0,"",'_motor'!$D$633)</f>
        <v/>
      </c>
      <c r="E53" s="33">
        <f>IF(OR('_motor'!$B$633=0,'_motor'!$B$672=0),"",'_motor'!$C$633/'_motor'!$B$672)</f>
        <v/>
      </c>
      <c r="F53" s="33">
        <f>IF(OR('_motor'!$B$633=0,'_motor'!$B$672=0),"",'_motor'!$D$633/'_motor'!$B$672)</f>
        <v/>
      </c>
      <c r="G53" s="22">
        <f>IF('_motor'!$B$633=0,"",SUMPRODUCT('_motor'!$B$586:$B$665*('_motor'!$C$586:$C$665&gt;'_motor'!$C$633))+(SUMPRODUCT('_motor'!$B$586:$B$665*('_motor'!$C$586:$C$665='_motor'!$C$633))+1)/2)</f>
        <v/>
      </c>
      <c r="H53" s="22">
        <f>IF('_motor'!$B$633=0,"",SUMPRODUCT('_motor'!$B$586:$B$665*('_motor'!$D$586:$D$665&gt;'_motor'!$D$633))+(SUMPRODUCT('_motor'!$B$586:$B$665*('_motor'!$D$586:$D$665='_motor'!$D$633))+1)/2)</f>
        <v/>
      </c>
      <c r="I53" s="19">
        <f>IF('_motor'!$B$633=0,"",IF(AND(ABS('_motor'!$C$633-'_motor'!$B$668)&lt;='_motor'!$B$676+0.000000001,ABS('_motor'!$D$633-'_motor'!$B$668)&lt;='_motor'!$B$676+0.000000001),"5 · Pelotón (no concluyente)",IF(AND('_motor'!$C$633&gt;='_motor'!$B$668,'_motor'!$D$633&lt;'_motor'!$B$668),"1 · Entrada / determinante",IF(AND('_motor'!$C$633&gt;='_motor'!$B$668,'_motor'!$D$633&gt;='_motor'!$B$668),"2 · Intermedia / de enlace",IF(AND('_motor'!$C$633&lt;'_motor'!$B$668,'_motor'!$D$633&gt;='_motor'!$B$668),"3 · Resultado","4 · Excluida / autónoma")))))</f>
        <v/>
      </c>
      <c r="J53" s="19">
        <f>IF('_motor'!$B$633=0,"",IF(AND(ABS('_motor'!$C$633-'_motor'!$B$668)&lt;='_motor'!$B$676+0.000000001,ABS('_motor'!$D$633-'_motor'!$B$668)&lt;='_motor'!$B$676+0.000000001),"Reguladora",IF(AND('_motor'!$C$633&gt;='_motor'!$B$668,'_motor'!$D$633&lt;0.5*'_motor'!$B$668),"Determinante / entorno",IF(AND('_motor'!$C$633&gt;='_motor'!$B$668,'_motor'!$D$633&lt;'_motor'!$B$668),"Palanca secundaria",IF(AND('_motor'!$C$633&gt;='_motor'!$B$668,'_motor'!$D$633&gt;='_motor'!$B$668),"Clave / de enlace",IF(AND('_motor'!$D$633&gt;='_motor'!$B$668,'_motor'!$C$633&gt;=0.5*'_motor'!$B$668),"Objetivo",IF('_motor'!$D$633&gt;='_motor'!$B$668,"Resultado","Autónoma")))))))</f>
        <v/>
      </c>
    </row>
    <row r="54" spans="1:10" x14ac:dyDescent="0.2">
      <c r="A54" s="21">
        <f>IF('_motor'!$B$634=0,"",'02 · Variables'!$B$55)</f>
        <v/>
      </c>
      <c r="B54" s="19">
        <f>IF('_motor'!$B$634=0,"",'02 · Variables'!$C$55)</f>
        <v/>
      </c>
      <c r="C54" s="38">
        <f>IF('_motor'!$B$634=0,"",'_motor'!$C$634)</f>
        <v/>
      </c>
      <c r="D54" s="38">
        <f>IF('_motor'!$B$634=0,"",'_motor'!$D$634)</f>
        <v/>
      </c>
      <c r="E54" s="33">
        <f>IF(OR('_motor'!$B$634=0,'_motor'!$B$672=0),"",'_motor'!$C$634/'_motor'!$B$672)</f>
        <v/>
      </c>
      <c r="F54" s="33">
        <f>IF(OR('_motor'!$B$634=0,'_motor'!$B$672=0),"",'_motor'!$D$634/'_motor'!$B$672)</f>
        <v/>
      </c>
      <c r="G54" s="22">
        <f>IF('_motor'!$B$634=0,"",SUMPRODUCT('_motor'!$B$586:$B$665*('_motor'!$C$586:$C$665&gt;'_motor'!$C$634))+(SUMPRODUCT('_motor'!$B$586:$B$665*('_motor'!$C$586:$C$665='_motor'!$C$634))+1)/2)</f>
        <v/>
      </c>
      <c r="H54" s="22">
        <f>IF('_motor'!$B$634=0,"",SUMPRODUCT('_motor'!$B$586:$B$665*('_motor'!$D$586:$D$665&gt;'_motor'!$D$634))+(SUMPRODUCT('_motor'!$B$586:$B$665*('_motor'!$D$586:$D$665='_motor'!$D$634))+1)/2)</f>
        <v/>
      </c>
      <c r="I54" s="19">
        <f>IF('_motor'!$B$634=0,"",IF(AND(ABS('_motor'!$C$634-'_motor'!$B$668)&lt;='_motor'!$B$676+0.000000001,ABS('_motor'!$D$634-'_motor'!$B$668)&lt;='_motor'!$B$676+0.000000001),"5 · Pelotón (no concluyente)",IF(AND('_motor'!$C$634&gt;='_motor'!$B$668,'_motor'!$D$634&lt;'_motor'!$B$668),"1 · Entrada / determinante",IF(AND('_motor'!$C$634&gt;='_motor'!$B$668,'_motor'!$D$634&gt;='_motor'!$B$668),"2 · Intermedia / de enlace",IF(AND('_motor'!$C$634&lt;'_motor'!$B$668,'_motor'!$D$634&gt;='_motor'!$B$668),"3 · Resultado","4 · Excluida / autónoma")))))</f>
        <v/>
      </c>
      <c r="J54" s="19">
        <f>IF('_motor'!$B$634=0,"",IF(AND(ABS('_motor'!$C$634-'_motor'!$B$668)&lt;='_motor'!$B$676+0.000000001,ABS('_motor'!$D$634-'_motor'!$B$668)&lt;='_motor'!$B$676+0.000000001),"Reguladora",IF(AND('_motor'!$C$634&gt;='_motor'!$B$668,'_motor'!$D$634&lt;0.5*'_motor'!$B$668),"Determinante / entorno",IF(AND('_motor'!$C$634&gt;='_motor'!$B$668,'_motor'!$D$634&lt;'_motor'!$B$668),"Palanca secundaria",IF(AND('_motor'!$C$634&gt;='_motor'!$B$668,'_motor'!$D$634&gt;='_motor'!$B$668),"Clave / de enlace",IF(AND('_motor'!$D$634&gt;='_motor'!$B$668,'_motor'!$C$634&gt;=0.5*'_motor'!$B$668),"Objetivo",IF('_motor'!$D$634&gt;='_motor'!$B$668,"Resultado","Autónoma")))))))</f>
        <v/>
      </c>
    </row>
    <row r="55" spans="1:10" x14ac:dyDescent="0.2">
      <c r="A55" s="21">
        <f>IF('_motor'!$B$635=0,"",'02 · Variables'!$B$56)</f>
        <v/>
      </c>
      <c r="B55" s="19">
        <f>IF('_motor'!$B$635=0,"",'02 · Variables'!$C$56)</f>
        <v/>
      </c>
      <c r="C55" s="38">
        <f>IF('_motor'!$B$635=0,"",'_motor'!$C$635)</f>
        <v/>
      </c>
      <c r="D55" s="38">
        <f>IF('_motor'!$B$635=0,"",'_motor'!$D$635)</f>
        <v/>
      </c>
      <c r="E55" s="33">
        <f>IF(OR('_motor'!$B$635=0,'_motor'!$B$672=0),"",'_motor'!$C$635/'_motor'!$B$672)</f>
        <v/>
      </c>
      <c r="F55" s="33">
        <f>IF(OR('_motor'!$B$635=0,'_motor'!$B$672=0),"",'_motor'!$D$635/'_motor'!$B$672)</f>
        <v/>
      </c>
      <c r="G55" s="22">
        <f>IF('_motor'!$B$635=0,"",SUMPRODUCT('_motor'!$B$586:$B$665*('_motor'!$C$586:$C$665&gt;'_motor'!$C$635))+(SUMPRODUCT('_motor'!$B$586:$B$665*('_motor'!$C$586:$C$665='_motor'!$C$635))+1)/2)</f>
        <v/>
      </c>
      <c r="H55" s="22">
        <f>IF('_motor'!$B$635=0,"",SUMPRODUCT('_motor'!$B$586:$B$665*('_motor'!$D$586:$D$665&gt;'_motor'!$D$635))+(SUMPRODUCT('_motor'!$B$586:$B$665*('_motor'!$D$586:$D$665='_motor'!$D$635))+1)/2)</f>
        <v/>
      </c>
      <c r="I55" s="19">
        <f>IF('_motor'!$B$635=0,"",IF(AND(ABS('_motor'!$C$635-'_motor'!$B$668)&lt;='_motor'!$B$676+0.000000001,ABS('_motor'!$D$635-'_motor'!$B$668)&lt;='_motor'!$B$676+0.000000001),"5 · Pelotón (no concluyente)",IF(AND('_motor'!$C$635&gt;='_motor'!$B$668,'_motor'!$D$635&lt;'_motor'!$B$668),"1 · Entrada / determinante",IF(AND('_motor'!$C$635&gt;='_motor'!$B$668,'_motor'!$D$635&gt;='_motor'!$B$668),"2 · Intermedia / de enlace",IF(AND('_motor'!$C$635&lt;'_motor'!$B$668,'_motor'!$D$635&gt;='_motor'!$B$668),"3 · Resultado","4 · Excluida / autónoma")))))</f>
        <v/>
      </c>
      <c r="J55" s="19">
        <f>IF('_motor'!$B$635=0,"",IF(AND(ABS('_motor'!$C$635-'_motor'!$B$668)&lt;='_motor'!$B$676+0.000000001,ABS('_motor'!$D$635-'_motor'!$B$668)&lt;='_motor'!$B$676+0.000000001),"Reguladora",IF(AND('_motor'!$C$635&gt;='_motor'!$B$668,'_motor'!$D$635&lt;0.5*'_motor'!$B$668),"Determinante / entorno",IF(AND('_motor'!$C$635&gt;='_motor'!$B$668,'_motor'!$D$635&lt;'_motor'!$B$668),"Palanca secundaria",IF(AND('_motor'!$C$635&gt;='_motor'!$B$668,'_motor'!$D$635&gt;='_motor'!$B$668),"Clave / de enlace",IF(AND('_motor'!$D$635&gt;='_motor'!$B$668,'_motor'!$C$635&gt;=0.5*'_motor'!$B$668),"Objetivo",IF('_motor'!$D$635&gt;='_motor'!$B$668,"Resultado","Autónoma")))))))</f>
        <v/>
      </c>
    </row>
    <row r="56" spans="1:10" x14ac:dyDescent="0.2">
      <c r="A56" s="21">
        <f>IF('_motor'!$B$636=0,"",'02 · Variables'!$B$57)</f>
        <v/>
      </c>
      <c r="B56" s="19">
        <f>IF('_motor'!$B$636=0,"",'02 · Variables'!$C$57)</f>
        <v/>
      </c>
      <c r="C56" s="38">
        <f>IF('_motor'!$B$636=0,"",'_motor'!$C$636)</f>
        <v/>
      </c>
      <c r="D56" s="38">
        <f>IF('_motor'!$B$636=0,"",'_motor'!$D$636)</f>
        <v/>
      </c>
      <c r="E56" s="33">
        <f>IF(OR('_motor'!$B$636=0,'_motor'!$B$672=0),"",'_motor'!$C$636/'_motor'!$B$672)</f>
        <v/>
      </c>
      <c r="F56" s="33">
        <f>IF(OR('_motor'!$B$636=0,'_motor'!$B$672=0),"",'_motor'!$D$636/'_motor'!$B$672)</f>
        <v/>
      </c>
      <c r="G56" s="22">
        <f>IF('_motor'!$B$636=0,"",SUMPRODUCT('_motor'!$B$586:$B$665*('_motor'!$C$586:$C$665&gt;'_motor'!$C$636))+(SUMPRODUCT('_motor'!$B$586:$B$665*('_motor'!$C$586:$C$665='_motor'!$C$636))+1)/2)</f>
        <v/>
      </c>
      <c r="H56" s="22">
        <f>IF('_motor'!$B$636=0,"",SUMPRODUCT('_motor'!$B$586:$B$665*('_motor'!$D$586:$D$665&gt;'_motor'!$D$636))+(SUMPRODUCT('_motor'!$B$586:$B$665*('_motor'!$D$586:$D$665='_motor'!$D$636))+1)/2)</f>
        <v/>
      </c>
      <c r="I56" s="19">
        <f>IF('_motor'!$B$636=0,"",IF(AND(ABS('_motor'!$C$636-'_motor'!$B$668)&lt;='_motor'!$B$676+0.000000001,ABS('_motor'!$D$636-'_motor'!$B$668)&lt;='_motor'!$B$676+0.000000001),"5 · Pelotón (no concluyente)",IF(AND('_motor'!$C$636&gt;='_motor'!$B$668,'_motor'!$D$636&lt;'_motor'!$B$668),"1 · Entrada / determinante",IF(AND('_motor'!$C$636&gt;='_motor'!$B$668,'_motor'!$D$636&gt;='_motor'!$B$668),"2 · Intermedia / de enlace",IF(AND('_motor'!$C$636&lt;'_motor'!$B$668,'_motor'!$D$636&gt;='_motor'!$B$668),"3 · Resultado","4 · Excluida / autónoma")))))</f>
        <v/>
      </c>
      <c r="J56" s="19">
        <f>IF('_motor'!$B$636=0,"",IF(AND(ABS('_motor'!$C$636-'_motor'!$B$668)&lt;='_motor'!$B$676+0.000000001,ABS('_motor'!$D$636-'_motor'!$B$668)&lt;='_motor'!$B$676+0.000000001),"Reguladora",IF(AND('_motor'!$C$636&gt;='_motor'!$B$668,'_motor'!$D$636&lt;0.5*'_motor'!$B$668),"Determinante / entorno",IF(AND('_motor'!$C$636&gt;='_motor'!$B$668,'_motor'!$D$636&lt;'_motor'!$B$668),"Palanca secundaria",IF(AND('_motor'!$C$636&gt;='_motor'!$B$668,'_motor'!$D$636&gt;='_motor'!$B$668),"Clave / de enlace",IF(AND('_motor'!$D$636&gt;='_motor'!$B$668,'_motor'!$C$636&gt;=0.5*'_motor'!$B$668),"Objetivo",IF('_motor'!$D$636&gt;='_motor'!$B$668,"Resultado","Autónoma")))))))</f>
        <v/>
      </c>
    </row>
    <row r="57" spans="1:10" x14ac:dyDescent="0.2">
      <c r="A57" s="21">
        <f>IF('_motor'!$B$637=0,"",'02 · Variables'!$B$58)</f>
        <v/>
      </c>
      <c r="B57" s="19">
        <f>IF('_motor'!$B$637=0,"",'02 · Variables'!$C$58)</f>
        <v/>
      </c>
      <c r="C57" s="38">
        <f>IF('_motor'!$B$637=0,"",'_motor'!$C$637)</f>
        <v/>
      </c>
      <c r="D57" s="38">
        <f>IF('_motor'!$B$637=0,"",'_motor'!$D$637)</f>
        <v/>
      </c>
      <c r="E57" s="33">
        <f>IF(OR('_motor'!$B$637=0,'_motor'!$B$672=0),"",'_motor'!$C$637/'_motor'!$B$672)</f>
        <v/>
      </c>
      <c r="F57" s="33">
        <f>IF(OR('_motor'!$B$637=0,'_motor'!$B$672=0),"",'_motor'!$D$637/'_motor'!$B$672)</f>
        <v/>
      </c>
      <c r="G57" s="22">
        <f>IF('_motor'!$B$637=0,"",SUMPRODUCT('_motor'!$B$586:$B$665*('_motor'!$C$586:$C$665&gt;'_motor'!$C$637))+(SUMPRODUCT('_motor'!$B$586:$B$665*('_motor'!$C$586:$C$665='_motor'!$C$637))+1)/2)</f>
        <v/>
      </c>
      <c r="H57" s="22">
        <f>IF('_motor'!$B$637=0,"",SUMPRODUCT('_motor'!$B$586:$B$665*('_motor'!$D$586:$D$665&gt;'_motor'!$D$637))+(SUMPRODUCT('_motor'!$B$586:$B$665*('_motor'!$D$586:$D$665='_motor'!$D$637))+1)/2)</f>
        <v/>
      </c>
      <c r="I57" s="19">
        <f>IF('_motor'!$B$637=0,"",IF(AND(ABS('_motor'!$C$637-'_motor'!$B$668)&lt;='_motor'!$B$676+0.000000001,ABS('_motor'!$D$637-'_motor'!$B$668)&lt;='_motor'!$B$676+0.000000001),"5 · Pelotón (no concluyente)",IF(AND('_motor'!$C$637&gt;='_motor'!$B$668,'_motor'!$D$637&lt;'_motor'!$B$668),"1 · Entrada / determinante",IF(AND('_motor'!$C$637&gt;='_motor'!$B$668,'_motor'!$D$637&gt;='_motor'!$B$668),"2 · Intermedia / de enlace",IF(AND('_motor'!$C$637&lt;'_motor'!$B$668,'_motor'!$D$637&gt;='_motor'!$B$668),"3 · Resultado","4 · Excluida / autónoma")))))</f>
        <v/>
      </c>
      <c r="J57" s="19">
        <f>IF('_motor'!$B$637=0,"",IF(AND(ABS('_motor'!$C$637-'_motor'!$B$668)&lt;='_motor'!$B$676+0.000000001,ABS('_motor'!$D$637-'_motor'!$B$668)&lt;='_motor'!$B$676+0.000000001),"Reguladora",IF(AND('_motor'!$C$637&gt;='_motor'!$B$668,'_motor'!$D$637&lt;0.5*'_motor'!$B$668),"Determinante / entorno",IF(AND('_motor'!$C$637&gt;='_motor'!$B$668,'_motor'!$D$637&lt;'_motor'!$B$668),"Palanca secundaria",IF(AND('_motor'!$C$637&gt;='_motor'!$B$668,'_motor'!$D$637&gt;='_motor'!$B$668),"Clave / de enlace",IF(AND('_motor'!$D$637&gt;='_motor'!$B$668,'_motor'!$C$637&gt;=0.5*'_motor'!$B$668),"Objetivo",IF('_motor'!$D$637&gt;='_motor'!$B$668,"Resultado","Autónoma")))))))</f>
        <v/>
      </c>
    </row>
    <row r="58" spans="1:10" x14ac:dyDescent="0.2">
      <c r="A58" s="21">
        <f>IF('_motor'!$B$638=0,"",'02 · Variables'!$B$59)</f>
        <v/>
      </c>
      <c r="B58" s="19">
        <f>IF('_motor'!$B$638=0,"",'02 · Variables'!$C$59)</f>
        <v/>
      </c>
      <c r="C58" s="38">
        <f>IF('_motor'!$B$638=0,"",'_motor'!$C$638)</f>
        <v/>
      </c>
      <c r="D58" s="38">
        <f>IF('_motor'!$B$638=0,"",'_motor'!$D$638)</f>
        <v/>
      </c>
      <c r="E58" s="33">
        <f>IF(OR('_motor'!$B$638=0,'_motor'!$B$672=0),"",'_motor'!$C$638/'_motor'!$B$672)</f>
        <v/>
      </c>
      <c r="F58" s="33">
        <f>IF(OR('_motor'!$B$638=0,'_motor'!$B$672=0),"",'_motor'!$D$638/'_motor'!$B$672)</f>
        <v/>
      </c>
      <c r="G58" s="22">
        <f>IF('_motor'!$B$638=0,"",SUMPRODUCT('_motor'!$B$586:$B$665*('_motor'!$C$586:$C$665&gt;'_motor'!$C$638))+(SUMPRODUCT('_motor'!$B$586:$B$665*('_motor'!$C$586:$C$665='_motor'!$C$638))+1)/2)</f>
        <v/>
      </c>
      <c r="H58" s="22">
        <f>IF('_motor'!$B$638=0,"",SUMPRODUCT('_motor'!$B$586:$B$665*('_motor'!$D$586:$D$665&gt;'_motor'!$D$638))+(SUMPRODUCT('_motor'!$B$586:$B$665*('_motor'!$D$586:$D$665='_motor'!$D$638))+1)/2)</f>
        <v/>
      </c>
      <c r="I58" s="19">
        <f>IF('_motor'!$B$638=0,"",IF(AND(ABS('_motor'!$C$638-'_motor'!$B$668)&lt;='_motor'!$B$676+0.000000001,ABS('_motor'!$D$638-'_motor'!$B$668)&lt;='_motor'!$B$676+0.000000001),"5 · Pelotón (no concluyente)",IF(AND('_motor'!$C$638&gt;='_motor'!$B$668,'_motor'!$D$638&lt;'_motor'!$B$668),"1 · Entrada / determinante",IF(AND('_motor'!$C$638&gt;='_motor'!$B$668,'_motor'!$D$638&gt;='_motor'!$B$668),"2 · Intermedia / de enlace",IF(AND('_motor'!$C$638&lt;'_motor'!$B$668,'_motor'!$D$638&gt;='_motor'!$B$668),"3 · Resultado","4 · Excluida / autónoma")))))</f>
        <v/>
      </c>
      <c r="J58" s="19">
        <f>IF('_motor'!$B$638=0,"",IF(AND(ABS('_motor'!$C$638-'_motor'!$B$668)&lt;='_motor'!$B$676+0.000000001,ABS('_motor'!$D$638-'_motor'!$B$668)&lt;='_motor'!$B$676+0.000000001),"Reguladora",IF(AND('_motor'!$C$638&gt;='_motor'!$B$668,'_motor'!$D$638&lt;0.5*'_motor'!$B$668),"Determinante / entorno",IF(AND('_motor'!$C$638&gt;='_motor'!$B$668,'_motor'!$D$638&lt;'_motor'!$B$668),"Palanca secundaria",IF(AND('_motor'!$C$638&gt;='_motor'!$B$668,'_motor'!$D$638&gt;='_motor'!$B$668),"Clave / de enlace",IF(AND('_motor'!$D$638&gt;='_motor'!$B$668,'_motor'!$C$638&gt;=0.5*'_motor'!$B$668),"Objetivo",IF('_motor'!$D$638&gt;='_motor'!$B$668,"Resultado","Autónoma")))))))</f>
        <v/>
      </c>
    </row>
    <row r="59" spans="1:10" x14ac:dyDescent="0.2">
      <c r="A59" s="21">
        <f>IF('_motor'!$B$639=0,"",'02 · Variables'!$B$60)</f>
        <v/>
      </c>
      <c r="B59" s="19">
        <f>IF('_motor'!$B$639=0,"",'02 · Variables'!$C$60)</f>
        <v/>
      </c>
      <c r="C59" s="38">
        <f>IF('_motor'!$B$639=0,"",'_motor'!$C$639)</f>
        <v/>
      </c>
      <c r="D59" s="38">
        <f>IF('_motor'!$B$639=0,"",'_motor'!$D$639)</f>
        <v/>
      </c>
      <c r="E59" s="33">
        <f>IF(OR('_motor'!$B$639=0,'_motor'!$B$672=0),"",'_motor'!$C$639/'_motor'!$B$672)</f>
        <v/>
      </c>
      <c r="F59" s="33">
        <f>IF(OR('_motor'!$B$639=0,'_motor'!$B$672=0),"",'_motor'!$D$639/'_motor'!$B$672)</f>
        <v/>
      </c>
      <c r="G59" s="22">
        <f>IF('_motor'!$B$639=0,"",SUMPRODUCT('_motor'!$B$586:$B$665*('_motor'!$C$586:$C$665&gt;'_motor'!$C$639))+(SUMPRODUCT('_motor'!$B$586:$B$665*('_motor'!$C$586:$C$665='_motor'!$C$639))+1)/2)</f>
        <v/>
      </c>
      <c r="H59" s="22">
        <f>IF('_motor'!$B$639=0,"",SUMPRODUCT('_motor'!$B$586:$B$665*('_motor'!$D$586:$D$665&gt;'_motor'!$D$639))+(SUMPRODUCT('_motor'!$B$586:$B$665*('_motor'!$D$586:$D$665='_motor'!$D$639))+1)/2)</f>
        <v/>
      </c>
      <c r="I59" s="19">
        <f>IF('_motor'!$B$639=0,"",IF(AND(ABS('_motor'!$C$639-'_motor'!$B$668)&lt;='_motor'!$B$676+0.000000001,ABS('_motor'!$D$639-'_motor'!$B$668)&lt;='_motor'!$B$676+0.000000001),"5 · Pelotón (no concluyente)",IF(AND('_motor'!$C$639&gt;='_motor'!$B$668,'_motor'!$D$639&lt;'_motor'!$B$668),"1 · Entrada / determinante",IF(AND('_motor'!$C$639&gt;='_motor'!$B$668,'_motor'!$D$639&gt;='_motor'!$B$668),"2 · Intermedia / de enlace",IF(AND('_motor'!$C$639&lt;'_motor'!$B$668,'_motor'!$D$639&gt;='_motor'!$B$668),"3 · Resultado","4 · Excluida / autónoma")))))</f>
        <v/>
      </c>
      <c r="J59" s="19">
        <f>IF('_motor'!$B$639=0,"",IF(AND(ABS('_motor'!$C$639-'_motor'!$B$668)&lt;='_motor'!$B$676+0.000000001,ABS('_motor'!$D$639-'_motor'!$B$668)&lt;='_motor'!$B$676+0.000000001),"Reguladora",IF(AND('_motor'!$C$639&gt;='_motor'!$B$668,'_motor'!$D$639&lt;0.5*'_motor'!$B$668),"Determinante / entorno",IF(AND('_motor'!$C$639&gt;='_motor'!$B$668,'_motor'!$D$639&lt;'_motor'!$B$668),"Palanca secundaria",IF(AND('_motor'!$C$639&gt;='_motor'!$B$668,'_motor'!$D$639&gt;='_motor'!$B$668),"Clave / de enlace",IF(AND('_motor'!$D$639&gt;='_motor'!$B$668,'_motor'!$C$639&gt;=0.5*'_motor'!$B$668),"Objetivo",IF('_motor'!$D$639&gt;='_motor'!$B$668,"Resultado","Autónoma")))))))</f>
        <v/>
      </c>
    </row>
    <row r="60" spans="1:10" x14ac:dyDescent="0.2">
      <c r="A60" s="21">
        <f>IF('_motor'!$B$640=0,"",'02 · Variables'!$B$61)</f>
        <v/>
      </c>
      <c r="B60" s="19">
        <f>IF('_motor'!$B$640=0,"",'02 · Variables'!$C$61)</f>
        <v/>
      </c>
      <c r="C60" s="38">
        <f>IF('_motor'!$B$640=0,"",'_motor'!$C$640)</f>
        <v/>
      </c>
      <c r="D60" s="38">
        <f>IF('_motor'!$B$640=0,"",'_motor'!$D$640)</f>
        <v/>
      </c>
      <c r="E60" s="33">
        <f>IF(OR('_motor'!$B$640=0,'_motor'!$B$672=0),"",'_motor'!$C$640/'_motor'!$B$672)</f>
        <v/>
      </c>
      <c r="F60" s="33">
        <f>IF(OR('_motor'!$B$640=0,'_motor'!$B$672=0),"",'_motor'!$D$640/'_motor'!$B$672)</f>
        <v/>
      </c>
      <c r="G60" s="22">
        <f>IF('_motor'!$B$640=0,"",SUMPRODUCT('_motor'!$B$586:$B$665*('_motor'!$C$586:$C$665&gt;'_motor'!$C$640))+(SUMPRODUCT('_motor'!$B$586:$B$665*('_motor'!$C$586:$C$665='_motor'!$C$640))+1)/2)</f>
        <v/>
      </c>
      <c r="H60" s="22">
        <f>IF('_motor'!$B$640=0,"",SUMPRODUCT('_motor'!$B$586:$B$665*('_motor'!$D$586:$D$665&gt;'_motor'!$D$640))+(SUMPRODUCT('_motor'!$B$586:$B$665*('_motor'!$D$586:$D$665='_motor'!$D$640))+1)/2)</f>
        <v/>
      </c>
      <c r="I60" s="19">
        <f>IF('_motor'!$B$640=0,"",IF(AND(ABS('_motor'!$C$640-'_motor'!$B$668)&lt;='_motor'!$B$676+0.000000001,ABS('_motor'!$D$640-'_motor'!$B$668)&lt;='_motor'!$B$676+0.000000001),"5 · Pelotón (no concluyente)",IF(AND('_motor'!$C$640&gt;='_motor'!$B$668,'_motor'!$D$640&lt;'_motor'!$B$668),"1 · Entrada / determinante",IF(AND('_motor'!$C$640&gt;='_motor'!$B$668,'_motor'!$D$640&gt;='_motor'!$B$668),"2 · Intermedia / de enlace",IF(AND('_motor'!$C$640&lt;'_motor'!$B$668,'_motor'!$D$640&gt;='_motor'!$B$668),"3 · Resultado","4 · Excluida / autónoma")))))</f>
        <v/>
      </c>
      <c r="J60" s="19">
        <f>IF('_motor'!$B$640=0,"",IF(AND(ABS('_motor'!$C$640-'_motor'!$B$668)&lt;='_motor'!$B$676+0.000000001,ABS('_motor'!$D$640-'_motor'!$B$668)&lt;='_motor'!$B$676+0.000000001),"Reguladora",IF(AND('_motor'!$C$640&gt;='_motor'!$B$668,'_motor'!$D$640&lt;0.5*'_motor'!$B$668),"Determinante / entorno",IF(AND('_motor'!$C$640&gt;='_motor'!$B$668,'_motor'!$D$640&lt;'_motor'!$B$668),"Palanca secundaria",IF(AND('_motor'!$C$640&gt;='_motor'!$B$668,'_motor'!$D$640&gt;='_motor'!$B$668),"Clave / de enlace",IF(AND('_motor'!$D$640&gt;='_motor'!$B$668,'_motor'!$C$640&gt;=0.5*'_motor'!$B$668),"Objetivo",IF('_motor'!$D$640&gt;='_motor'!$B$668,"Resultado","Autónoma")))))))</f>
        <v/>
      </c>
    </row>
    <row r="61" spans="1:10" x14ac:dyDescent="0.2">
      <c r="A61" s="21">
        <f>IF('_motor'!$B$641=0,"",'02 · Variables'!$B$62)</f>
        <v/>
      </c>
      <c r="B61" s="19">
        <f>IF('_motor'!$B$641=0,"",'02 · Variables'!$C$62)</f>
        <v/>
      </c>
      <c r="C61" s="38">
        <f>IF('_motor'!$B$641=0,"",'_motor'!$C$641)</f>
        <v/>
      </c>
      <c r="D61" s="38">
        <f>IF('_motor'!$B$641=0,"",'_motor'!$D$641)</f>
        <v/>
      </c>
      <c r="E61" s="33">
        <f>IF(OR('_motor'!$B$641=0,'_motor'!$B$672=0),"",'_motor'!$C$641/'_motor'!$B$672)</f>
        <v/>
      </c>
      <c r="F61" s="33">
        <f>IF(OR('_motor'!$B$641=0,'_motor'!$B$672=0),"",'_motor'!$D$641/'_motor'!$B$672)</f>
        <v/>
      </c>
      <c r="G61" s="22">
        <f>IF('_motor'!$B$641=0,"",SUMPRODUCT('_motor'!$B$586:$B$665*('_motor'!$C$586:$C$665&gt;'_motor'!$C$641))+(SUMPRODUCT('_motor'!$B$586:$B$665*('_motor'!$C$586:$C$665='_motor'!$C$641))+1)/2)</f>
        <v/>
      </c>
      <c r="H61" s="22">
        <f>IF('_motor'!$B$641=0,"",SUMPRODUCT('_motor'!$B$586:$B$665*('_motor'!$D$586:$D$665&gt;'_motor'!$D$641))+(SUMPRODUCT('_motor'!$B$586:$B$665*('_motor'!$D$586:$D$665='_motor'!$D$641))+1)/2)</f>
        <v/>
      </c>
      <c r="I61" s="19">
        <f>IF('_motor'!$B$641=0,"",IF(AND(ABS('_motor'!$C$641-'_motor'!$B$668)&lt;='_motor'!$B$676+0.000000001,ABS('_motor'!$D$641-'_motor'!$B$668)&lt;='_motor'!$B$676+0.000000001),"5 · Pelotón (no concluyente)",IF(AND('_motor'!$C$641&gt;='_motor'!$B$668,'_motor'!$D$641&lt;'_motor'!$B$668),"1 · Entrada / determinante",IF(AND('_motor'!$C$641&gt;='_motor'!$B$668,'_motor'!$D$641&gt;='_motor'!$B$668),"2 · Intermedia / de enlace",IF(AND('_motor'!$C$641&lt;'_motor'!$B$668,'_motor'!$D$641&gt;='_motor'!$B$668),"3 · Resultado","4 · Excluida / autónoma")))))</f>
        <v/>
      </c>
      <c r="J61" s="19">
        <f>IF('_motor'!$B$641=0,"",IF(AND(ABS('_motor'!$C$641-'_motor'!$B$668)&lt;='_motor'!$B$676+0.000000001,ABS('_motor'!$D$641-'_motor'!$B$668)&lt;='_motor'!$B$676+0.000000001),"Reguladora",IF(AND('_motor'!$C$641&gt;='_motor'!$B$668,'_motor'!$D$641&lt;0.5*'_motor'!$B$668),"Determinante / entorno",IF(AND('_motor'!$C$641&gt;='_motor'!$B$668,'_motor'!$D$641&lt;'_motor'!$B$668),"Palanca secundaria",IF(AND('_motor'!$C$641&gt;='_motor'!$B$668,'_motor'!$D$641&gt;='_motor'!$B$668),"Clave / de enlace",IF(AND('_motor'!$D$641&gt;='_motor'!$B$668,'_motor'!$C$641&gt;=0.5*'_motor'!$B$668),"Objetivo",IF('_motor'!$D$641&gt;='_motor'!$B$668,"Resultado","Autónoma")))))))</f>
        <v/>
      </c>
    </row>
    <row r="62" spans="1:10" x14ac:dyDescent="0.2">
      <c r="A62" s="21">
        <f>IF('_motor'!$B$642=0,"",'02 · Variables'!$B$63)</f>
        <v/>
      </c>
      <c r="B62" s="19">
        <f>IF('_motor'!$B$642=0,"",'02 · Variables'!$C$63)</f>
        <v/>
      </c>
      <c r="C62" s="38">
        <f>IF('_motor'!$B$642=0,"",'_motor'!$C$642)</f>
        <v/>
      </c>
      <c r="D62" s="38">
        <f>IF('_motor'!$B$642=0,"",'_motor'!$D$642)</f>
        <v/>
      </c>
      <c r="E62" s="33">
        <f>IF(OR('_motor'!$B$642=0,'_motor'!$B$672=0),"",'_motor'!$C$642/'_motor'!$B$672)</f>
        <v/>
      </c>
      <c r="F62" s="33">
        <f>IF(OR('_motor'!$B$642=0,'_motor'!$B$672=0),"",'_motor'!$D$642/'_motor'!$B$672)</f>
        <v/>
      </c>
      <c r="G62" s="22">
        <f>IF('_motor'!$B$642=0,"",SUMPRODUCT('_motor'!$B$586:$B$665*('_motor'!$C$586:$C$665&gt;'_motor'!$C$642))+(SUMPRODUCT('_motor'!$B$586:$B$665*('_motor'!$C$586:$C$665='_motor'!$C$642))+1)/2)</f>
        <v/>
      </c>
      <c r="H62" s="22">
        <f>IF('_motor'!$B$642=0,"",SUMPRODUCT('_motor'!$B$586:$B$665*('_motor'!$D$586:$D$665&gt;'_motor'!$D$642))+(SUMPRODUCT('_motor'!$B$586:$B$665*('_motor'!$D$586:$D$665='_motor'!$D$642))+1)/2)</f>
        <v/>
      </c>
      <c r="I62" s="19">
        <f>IF('_motor'!$B$642=0,"",IF(AND(ABS('_motor'!$C$642-'_motor'!$B$668)&lt;='_motor'!$B$676+0.000000001,ABS('_motor'!$D$642-'_motor'!$B$668)&lt;='_motor'!$B$676+0.000000001),"5 · Pelotón (no concluyente)",IF(AND('_motor'!$C$642&gt;='_motor'!$B$668,'_motor'!$D$642&lt;'_motor'!$B$668),"1 · Entrada / determinante",IF(AND('_motor'!$C$642&gt;='_motor'!$B$668,'_motor'!$D$642&gt;='_motor'!$B$668),"2 · Intermedia / de enlace",IF(AND('_motor'!$C$642&lt;'_motor'!$B$668,'_motor'!$D$642&gt;='_motor'!$B$668),"3 · Resultado","4 · Excluida / autónoma")))))</f>
        <v/>
      </c>
      <c r="J62" s="19">
        <f>IF('_motor'!$B$642=0,"",IF(AND(ABS('_motor'!$C$642-'_motor'!$B$668)&lt;='_motor'!$B$676+0.000000001,ABS('_motor'!$D$642-'_motor'!$B$668)&lt;='_motor'!$B$676+0.000000001),"Reguladora",IF(AND('_motor'!$C$642&gt;='_motor'!$B$668,'_motor'!$D$642&lt;0.5*'_motor'!$B$668),"Determinante / entorno",IF(AND('_motor'!$C$642&gt;='_motor'!$B$668,'_motor'!$D$642&lt;'_motor'!$B$668),"Palanca secundaria",IF(AND('_motor'!$C$642&gt;='_motor'!$B$668,'_motor'!$D$642&gt;='_motor'!$B$668),"Clave / de enlace",IF(AND('_motor'!$D$642&gt;='_motor'!$B$668,'_motor'!$C$642&gt;=0.5*'_motor'!$B$668),"Objetivo",IF('_motor'!$D$642&gt;='_motor'!$B$668,"Resultado","Autónoma")))))))</f>
        <v/>
      </c>
    </row>
    <row r="63" spans="1:10" x14ac:dyDescent="0.2">
      <c r="A63" s="21">
        <f>IF('_motor'!$B$643=0,"",'02 · Variables'!$B$64)</f>
        <v/>
      </c>
      <c r="B63" s="19">
        <f>IF('_motor'!$B$643=0,"",'02 · Variables'!$C$64)</f>
        <v/>
      </c>
      <c r="C63" s="38">
        <f>IF('_motor'!$B$643=0,"",'_motor'!$C$643)</f>
        <v/>
      </c>
      <c r="D63" s="38">
        <f>IF('_motor'!$B$643=0,"",'_motor'!$D$643)</f>
        <v/>
      </c>
      <c r="E63" s="33">
        <f>IF(OR('_motor'!$B$643=0,'_motor'!$B$672=0),"",'_motor'!$C$643/'_motor'!$B$672)</f>
        <v/>
      </c>
      <c r="F63" s="33">
        <f>IF(OR('_motor'!$B$643=0,'_motor'!$B$672=0),"",'_motor'!$D$643/'_motor'!$B$672)</f>
        <v/>
      </c>
      <c r="G63" s="22">
        <f>IF('_motor'!$B$643=0,"",SUMPRODUCT('_motor'!$B$586:$B$665*('_motor'!$C$586:$C$665&gt;'_motor'!$C$643))+(SUMPRODUCT('_motor'!$B$586:$B$665*('_motor'!$C$586:$C$665='_motor'!$C$643))+1)/2)</f>
        <v/>
      </c>
      <c r="H63" s="22">
        <f>IF('_motor'!$B$643=0,"",SUMPRODUCT('_motor'!$B$586:$B$665*('_motor'!$D$586:$D$665&gt;'_motor'!$D$643))+(SUMPRODUCT('_motor'!$B$586:$B$665*('_motor'!$D$586:$D$665='_motor'!$D$643))+1)/2)</f>
        <v/>
      </c>
      <c r="I63" s="19">
        <f>IF('_motor'!$B$643=0,"",IF(AND(ABS('_motor'!$C$643-'_motor'!$B$668)&lt;='_motor'!$B$676+0.000000001,ABS('_motor'!$D$643-'_motor'!$B$668)&lt;='_motor'!$B$676+0.000000001),"5 · Pelotón (no concluyente)",IF(AND('_motor'!$C$643&gt;='_motor'!$B$668,'_motor'!$D$643&lt;'_motor'!$B$668),"1 · Entrada / determinante",IF(AND('_motor'!$C$643&gt;='_motor'!$B$668,'_motor'!$D$643&gt;='_motor'!$B$668),"2 · Intermedia / de enlace",IF(AND('_motor'!$C$643&lt;'_motor'!$B$668,'_motor'!$D$643&gt;='_motor'!$B$668),"3 · Resultado","4 · Excluida / autónoma")))))</f>
        <v/>
      </c>
      <c r="J63" s="19">
        <f>IF('_motor'!$B$643=0,"",IF(AND(ABS('_motor'!$C$643-'_motor'!$B$668)&lt;='_motor'!$B$676+0.000000001,ABS('_motor'!$D$643-'_motor'!$B$668)&lt;='_motor'!$B$676+0.000000001),"Reguladora",IF(AND('_motor'!$C$643&gt;='_motor'!$B$668,'_motor'!$D$643&lt;0.5*'_motor'!$B$668),"Determinante / entorno",IF(AND('_motor'!$C$643&gt;='_motor'!$B$668,'_motor'!$D$643&lt;'_motor'!$B$668),"Palanca secundaria",IF(AND('_motor'!$C$643&gt;='_motor'!$B$668,'_motor'!$D$643&gt;='_motor'!$B$668),"Clave / de enlace",IF(AND('_motor'!$D$643&gt;='_motor'!$B$668,'_motor'!$C$643&gt;=0.5*'_motor'!$B$668),"Objetivo",IF('_motor'!$D$643&gt;='_motor'!$B$668,"Resultado","Autónoma")))))))</f>
        <v/>
      </c>
    </row>
    <row r="64" spans="1:10" x14ac:dyDescent="0.2">
      <c r="A64" s="21">
        <f>IF('_motor'!$B$644=0,"",'02 · Variables'!$B$65)</f>
        <v/>
      </c>
      <c r="B64" s="19">
        <f>IF('_motor'!$B$644=0,"",'02 · Variables'!$C$65)</f>
        <v/>
      </c>
      <c r="C64" s="38">
        <f>IF('_motor'!$B$644=0,"",'_motor'!$C$644)</f>
        <v/>
      </c>
      <c r="D64" s="38">
        <f>IF('_motor'!$B$644=0,"",'_motor'!$D$644)</f>
        <v/>
      </c>
      <c r="E64" s="33">
        <f>IF(OR('_motor'!$B$644=0,'_motor'!$B$672=0),"",'_motor'!$C$644/'_motor'!$B$672)</f>
        <v/>
      </c>
      <c r="F64" s="33">
        <f>IF(OR('_motor'!$B$644=0,'_motor'!$B$672=0),"",'_motor'!$D$644/'_motor'!$B$672)</f>
        <v/>
      </c>
      <c r="G64" s="22">
        <f>IF('_motor'!$B$644=0,"",SUMPRODUCT('_motor'!$B$586:$B$665*('_motor'!$C$586:$C$665&gt;'_motor'!$C$644))+(SUMPRODUCT('_motor'!$B$586:$B$665*('_motor'!$C$586:$C$665='_motor'!$C$644))+1)/2)</f>
        <v/>
      </c>
      <c r="H64" s="22">
        <f>IF('_motor'!$B$644=0,"",SUMPRODUCT('_motor'!$B$586:$B$665*('_motor'!$D$586:$D$665&gt;'_motor'!$D$644))+(SUMPRODUCT('_motor'!$B$586:$B$665*('_motor'!$D$586:$D$665='_motor'!$D$644))+1)/2)</f>
        <v/>
      </c>
      <c r="I64" s="19">
        <f>IF('_motor'!$B$644=0,"",IF(AND(ABS('_motor'!$C$644-'_motor'!$B$668)&lt;='_motor'!$B$676+0.000000001,ABS('_motor'!$D$644-'_motor'!$B$668)&lt;='_motor'!$B$676+0.000000001),"5 · Pelotón (no concluyente)",IF(AND('_motor'!$C$644&gt;='_motor'!$B$668,'_motor'!$D$644&lt;'_motor'!$B$668),"1 · Entrada / determinante",IF(AND('_motor'!$C$644&gt;='_motor'!$B$668,'_motor'!$D$644&gt;='_motor'!$B$668),"2 · Intermedia / de enlace",IF(AND('_motor'!$C$644&lt;'_motor'!$B$668,'_motor'!$D$644&gt;='_motor'!$B$668),"3 · Resultado","4 · Excluida / autónoma")))))</f>
        <v/>
      </c>
      <c r="J64" s="19">
        <f>IF('_motor'!$B$644=0,"",IF(AND(ABS('_motor'!$C$644-'_motor'!$B$668)&lt;='_motor'!$B$676+0.000000001,ABS('_motor'!$D$644-'_motor'!$B$668)&lt;='_motor'!$B$676+0.000000001),"Reguladora",IF(AND('_motor'!$C$644&gt;='_motor'!$B$668,'_motor'!$D$644&lt;0.5*'_motor'!$B$668),"Determinante / entorno",IF(AND('_motor'!$C$644&gt;='_motor'!$B$668,'_motor'!$D$644&lt;'_motor'!$B$668),"Palanca secundaria",IF(AND('_motor'!$C$644&gt;='_motor'!$B$668,'_motor'!$D$644&gt;='_motor'!$B$668),"Clave / de enlace",IF(AND('_motor'!$D$644&gt;='_motor'!$B$668,'_motor'!$C$644&gt;=0.5*'_motor'!$B$668),"Objetivo",IF('_motor'!$D$644&gt;='_motor'!$B$668,"Resultado","Autónoma")))))))</f>
        <v/>
      </c>
    </row>
    <row r="65" spans="1:10" x14ac:dyDescent="0.2">
      <c r="A65" s="21">
        <f>IF('_motor'!$B$645=0,"",'02 · Variables'!$B$66)</f>
        <v/>
      </c>
      <c r="B65" s="19">
        <f>IF('_motor'!$B$645=0,"",'02 · Variables'!$C$66)</f>
        <v/>
      </c>
      <c r="C65" s="38">
        <f>IF('_motor'!$B$645=0,"",'_motor'!$C$645)</f>
        <v/>
      </c>
      <c r="D65" s="38">
        <f>IF('_motor'!$B$645=0,"",'_motor'!$D$645)</f>
        <v/>
      </c>
      <c r="E65" s="33">
        <f>IF(OR('_motor'!$B$645=0,'_motor'!$B$672=0),"",'_motor'!$C$645/'_motor'!$B$672)</f>
        <v/>
      </c>
      <c r="F65" s="33">
        <f>IF(OR('_motor'!$B$645=0,'_motor'!$B$672=0),"",'_motor'!$D$645/'_motor'!$B$672)</f>
        <v/>
      </c>
      <c r="G65" s="22">
        <f>IF('_motor'!$B$645=0,"",SUMPRODUCT('_motor'!$B$586:$B$665*('_motor'!$C$586:$C$665&gt;'_motor'!$C$645))+(SUMPRODUCT('_motor'!$B$586:$B$665*('_motor'!$C$586:$C$665='_motor'!$C$645))+1)/2)</f>
        <v/>
      </c>
      <c r="H65" s="22">
        <f>IF('_motor'!$B$645=0,"",SUMPRODUCT('_motor'!$B$586:$B$665*('_motor'!$D$586:$D$665&gt;'_motor'!$D$645))+(SUMPRODUCT('_motor'!$B$586:$B$665*('_motor'!$D$586:$D$665='_motor'!$D$645))+1)/2)</f>
        <v/>
      </c>
      <c r="I65" s="19">
        <f>IF('_motor'!$B$645=0,"",IF(AND(ABS('_motor'!$C$645-'_motor'!$B$668)&lt;='_motor'!$B$676+0.000000001,ABS('_motor'!$D$645-'_motor'!$B$668)&lt;='_motor'!$B$676+0.000000001),"5 · Pelotón (no concluyente)",IF(AND('_motor'!$C$645&gt;='_motor'!$B$668,'_motor'!$D$645&lt;'_motor'!$B$668),"1 · Entrada / determinante",IF(AND('_motor'!$C$645&gt;='_motor'!$B$668,'_motor'!$D$645&gt;='_motor'!$B$668),"2 · Intermedia / de enlace",IF(AND('_motor'!$C$645&lt;'_motor'!$B$668,'_motor'!$D$645&gt;='_motor'!$B$668),"3 · Resultado","4 · Excluida / autónoma")))))</f>
        <v/>
      </c>
      <c r="J65" s="19">
        <f>IF('_motor'!$B$645=0,"",IF(AND(ABS('_motor'!$C$645-'_motor'!$B$668)&lt;='_motor'!$B$676+0.000000001,ABS('_motor'!$D$645-'_motor'!$B$668)&lt;='_motor'!$B$676+0.000000001),"Reguladora",IF(AND('_motor'!$C$645&gt;='_motor'!$B$668,'_motor'!$D$645&lt;0.5*'_motor'!$B$668),"Determinante / entorno",IF(AND('_motor'!$C$645&gt;='_motor'!$B$668,'_motor'!$D$645&lt;'_motor'!$B$668),"Palanca secundaria",IF(AND('_motor'!$C$645&gt;='_motor'!$B$668,'_motor'!$D$645&gt;='_motor'!$B$668),"Clave / de enlace",IF(AND('_motor'!$D$645&gt;='_motor'!$B$668,'_motor'!$C$645&gt;=0.5*'_motor'!$B$668),"Objetivo",IF('_motor'!$D$645&gt;='_motor'!$B$668,"Resultado","Autónoma")))))))</f>
        <v/>
      </c>
    </row>
    <row r="66" spans="1:10" x14ac:dyDescent="0.2">
      <c r="A66" s="21">
        <f>IF('_motor'!$B$646=0,"",'02 · Variables'!$B$67)</f>
        <v/>
      </c>
      <c r="B66" s="19">
        <f>IF('_motor'!$B$646=0,"",'02 · Variables'!$C$67)</f>
        <v/>
      </c>
      <c r="C66" s="38">
        <f>IF('_motor'!$B$646=0,"",'_motor'!$C$646)</f>
        <v/>
      </c>
      <c r="D66" s="38">
        <f>IF('_motor'!$B$646=0,"",'_motor'!$D$646)</f>
        <v/>
      </c>
      <c r="E66" s="33">
        <f>IF(OR('_motor'!$B$646=0,'_motor'!$B$672=0),"",'_motor'!$C$646/'_motor'!$B$672)</f>
        <v/>
      </c>
      <c r="F66" s="33">
        <f>IF(OR('_motor'!$B$646=0,'_motor'!$B$672=0),"",'_motor'!$D$646/'_motor'!$B$672)</f>
        <v/>
      </c>
      <c r="G66" s="22">
        <f>IF('_motor'!$B$646=0,"",SUMPRODUCT('_motor'!$B$586:$B$665*('_motor'!$C$586:$C$665&gt;'_motor'!$C$646))+(SUMPRODUCT('_motor'!$B$586:$B$665*('_motor'!$C$586:$C$665='_motor'!$C$646))+1)/2)</f>
        <v/>
      </c>
      <c r="H66" s="22">
        <f>IF('_motor'!$B$646=0,"",SUMPRODUCT('_motor'!$B$586:$B$665*('_motor'!$D$586:$D$665&gt;'_motor'!$D$646))+(SUMPRODUCT('_motor'!$B$586:$B$665*('_motor'!$D$586:$D$665='_motor'!$D$646))+1)/2)</f>
        <v/>
      </c>
      <c r="I66" s="19">
        <f>IF('_motor'!$B$646=0,"",IF(AND(ABS('_motor'!$C$646-'_motor'!$B$668)&lt;='_motor'!$B$676+0.000000001,ABS('_motor'!$D$646-'_motor'!$B$668)&lt;='_motor'!$B$676+0.000000001),"5 · Pelotón (no concluyente)",IF(AND('_motor'!$C$646&gt;='_motor'!$B$668,'_motor'!$D$646&lt;'_motor'!$B$668),"1 · Entrada / determinante",IF(AND('_motor'!$C$646&gt;='_motor'!$B$668,'_motor'!$D$646&gt;='_motor'!$B$668),"2 · Intermedia / de enlace",IF(AND('_motor'!$C$646&lt;'_motor'!$B$668,'_motor'!$D$646&gt;='_motor'!$B$668),"3 · Resultado","4 · Excluida / autónoma")))))</f>
        <v/>
      </c>
      <c r="J66" s="19">
        <f>IF('_motor'!$B$646=0,"",IF(AND(ABS('_motor'!$C$646-'_motor'!$B$668)&lt;='_motor'!$B$676+0.000000001,ABS('_motor'!$D$646-'_motor'!$B$668)&lt;='_motor'!$B$676+0.000000001),"Reguladora",IF(AND('_motor'!$C$646&gt;='_motor'!$B$668,'_motor'!$D$646&lt;0.5*'_motor'!$B$668),"Determinante / entorno",IF(AND('_motor'!$C$646&gt;='_motor'!$B$668,'_motor'!$D$646&lt;'_motor'!$B$668),"Palanca secundaria",IF(AND('_motor'!$C$646&gt;='_motor'!$B$668,'_motor'!$D$646&gt;='_motor'!$B$668),"Clave / de enlace",IF(AND('_motor'!$D$646&gt;='_motor'!$B$668,'_motor'!$C$646&gt;=0.5*'_motor'!$B$668),"Objetivo",IF('_motor'!$D$646&gt;='_motor'!$B$668,"Resultado","Autónoma")))))))</f>
        <v/>
      </c>
    </row>
    <row r="67" spans="1:10" x14ac:dyDescent="0.2">
      <c r="A67" s="21">
        <f>IF('_motor'!$B$647=0,"",'02 · Variables'!$B$68)</f>
        <v/>
      </c>
      <c r="B67" s="19">
        <f>IF('_motor'!$B$647=0,"",'02 · Variables'!$C$68)</f>
        <v/>
      </c>
      <c r="C67" s="38">
        <f>IF('_motor'!$B$647=0,"",'_motor'!$C$647)</f>
        <v/>
      </c>
      <c r="D67" s="38">
        <f>IF('_motor'!$B$647=0,"",'_motor'!$D$647)</f>
        <v/>
      </c>
      <c r="E67" s="33">
        <f>IF(OR('_motor'!$B$647=0,'_motor'!$B$672=0),"",'_motor'!$C$647/'_motor'!$B$672)</f>
        <v/>
      </c>
      <c r="F67" s="33">
        <f>IF(OR('_motor'!$B$647=0,'_motor'!$B$672=0),"",'_motor'!$D$647/'_motor'!$B$672)</f>
        <v/>
      </c>
      <c r="G67" s="22">
        <f>IF('_motor'!$B$647=0,"",SUMPRODUCT('_motor'!$B$586:$B$665*('_motor'!$C$586:$C$665&gt;'_motor'!$C$647))+(SUMPRODUCT('_motor'!$B$586:$B$665*('_motor'!$C$586:$C$665='_motor'!$C$647))+1)/2)</f>
        <v/>
      </c>
      <c r="H67" s="22">
        <f>IF('_motor'!$B$647=0,"",SUMPRODUCT('_motor'!$B$586:$B$665*('_motor'!$D$586:$D$665&gt;'_motor'!$D$647))+(SUMPRODUCT('_motor'!$B$586:$B$665*('_motor'!$D$586:$D$665='_motor'!$D$647))+1)/2)</f>
        <v/>
      </c>
      <c r="I67" s="19">
        <f>IF('_motor'!$B$647=0,"",IF(AND(ABS('_motor'!$C$647-'_motor'!$B$668)&lt;='_motor'!$B$676+0.000000001,ABS('_motor'!$D$647-'_motor'!$B$668)&lt;='_motor'!$B$676+0.000000001),"5 · Pelotón (no concluyente)",IF(AND('_motor'!$C$647&gt;='_motor'!$B$668,'_motor'!$D$647&lt;'_motor'!$B$668),"1 · Entrada / determinante",IF(AND('_motor'!$C$647&gt;='_motor'!$B$668,'_motor'!$D$647&gt;='_motor'!$B$668),"2 · Intermedia / de enlace",IF(AND('_motor'!$C$647&lt;'_motor'!$B$668,'_motor'!$D$647&gt;='_motor'!$B$668),"3 · Resultado","4 · Excluida / autónoma")))))</f>
        <v/>
      </c>
      <c r="J67" s="19">
        <f>IF('_motor'!$B$647=0,"",IF(AND(ABS('_motor'!$C$647-'_motor'!$B$668)&lt;='_motor'!$B$676+0.000000001,ABS('_motor'!$D$647-'_motor'!$B$668)&lt;='_motor'!$B$676+0.000000001),"Reguladora",IF(AND('_motor'!$C$647&gt;='_motor'!$B$668,'_motor'!$D$647&lt;0.5*'_motor'!$B$668),"Determinante / entorno",IF(AND('_motor'!$C$647&gt;='_motor'!$B$668,'_motor'!$D$647&lt;'_motor'!$B$668),"Palanca secundaria",IF(AND('_motor'!$C$647&gt;='_motor'!$B$668,'_motor'!$D$647&gt;='_motor'!$B$668),"Clave / de enlace",IF(AND('_motor'!$D$647&gt;='_motor'!$B$668,'_motor'!$C$647&gt;=0.5*'_motor'!$B$668),"Objetivo",IF('_motor'!$D$647&gt;='_motor'!$B$668,"Resultado","Autónoma")))))))</f>
        <v/>
      </c>
    </row>
    <row r="68" spans="1:10" x14ac:dyDescent="0.2">
      <c r="A68" s="21">
        <f>IF('_motor'!$B$648=0,"",'02 · Variables'!$B$69)</f>
        <v/>
      </c>
      <c r="B68" s="19">
        <f>IF('_motor'!$B$648=0,"",'02 · Variables'!$C$69)</f>
        <v/>
      </c>
      <c r="C68" s="38">
        <f>IF('_motor'!$B$648=0,"",'_motor'!$C$648)</f>
        <v/>
      </c>
      <c r="D68" s="38">
        <f>IF('_motor'!$B$648=0,"",'_motor'!$D$648)</f>
        <v/>
      </c>
      <c r="E68" s="33">
        <f>IF(OR('_motor'!$B$648=0,'_motor'!$B$672=0),"",'_motor'!$C$648/'_motor'!$B$672)</f>
        <v/>
      </c>
      <c r="F68" s="33">
        <f>IF(OR('_motor'!$B$648=0,'_motor'!$B$672=0),"",'_motor'!$D$648/'_motor'!$B$672)</f>
        <v/>
      </c>
      <c r="G68" s="22">
        <f>IF('_motor'!$B$648=0,"",SUMPRODUCT('_motor'!$B$586:$B$665*('_motor'!$C$586:$C$665&gt;'_motor'!$C$648))+(SUMPRODUCT('_motor'!$B$586:$B$665*('_motor'!$C$586:$C$665='_motor'!$C$648))+1)/2)</f>
        <v/>
      </c>
      <c r="H68" s="22">
        <f>IF('_motor'!$B$648=0,"",SUMPRODUCT('_motor'!$B$586:$B$665*('_motor'!$D$586:$D$665&gt;'_motor'!$D$648))+(SUMPRODUCT('_motor'!$B$586:$B$665*('_motor'!$D$586:$D$665='_motor'!$D$648))+1)/2)</f>
        <v/>
      </c>
      <c r="I68" s="19">
        <f>IF('_motor'!$B$648=0,"",IF(AND(ABS('_motor'!$C$648-'_motor'!$B$668)&lt;='_motor'!$B$676+0.000000001,ABS('_motor'!$D$648-'_motor'!$B$668)&lt;='_motor'!$B$676+0.000000001),"5 · Pelotón (no concluyente)",IF(AND('_motor'!$C$648&gt;='_motor'!$B$668,'_motor'!$D$648&lt;'_motor'!$B$668),"1 · Entrada / determinante",IF(AND('_motor'!$C$648&gt;='_motor'!$B$668,'_motor'!$D$648&gt;='_motor'!$B$668),"2 · Intermedia / de enlace",IF(AND('_motor'!$C$648&lt;'_motor'!$B$668,'_motor'!$D$648&gt;='_motor'!$B$668),"3 · Resultado","4 · Excluida / autónoma")))))</f>
        <v/>
      </c>
      <c r="J68" s="19">
        <f>IF('_motor'!$B$648=0,"",IF(AND(ABS('_motor'!$C$648-'_motor'!$B$668)&lt;='_motor'!$B$676+0.000000001,ABS('_motor'!$D$648-'_motor'!$B$668)&lt;='_motor'!$B$676+0.000000001),"Reguladora",IF(AND('_motor'!$C$648&gt;='_motor'!$B$668,'_motor'!$D$648&lt;0.5*'_motor'!$B$668),"Determinante / entorno",IF(AND('_motor'!$C$648&gt;='_motor'!$B$668,'_motor'!$D$648&lt;'_motor'!$B$668),"Palanca secundaria",IF(AND('_motor'!$C$648&gt;='_motor'!$B$668,'_motor'!$D$648&gt;='_motor'!$B$668),"Clave / de enlace",IF(AND('_motor'!$D$648&gt;='_motor'!$B$668,'_motor'!$C$648&gt;=0.5*'_motor'!$B$668),"Objetivo",IF('_motor'!$D$648&gt;='_motor'!$B$668,"Resultado","Autónoma")))))))</f>
        <v/>
      </c>
    </row>
    <row r="69" spans="1:10" x14ac:dyDescent="0.2">
      <c r="A69" s="21">
        <f>IF('_motor'!$B$649=0,"",'02 · Variables'!$B$70)</f>
        <v/>
      </c>
      <c r="B69" s="19">
        <f>IF('_motor'!$B$649=0,"",'02 · Variables'!$C$70)</f>
        <v/>
      </c>
      <c r="C69" s="38">
        <f>IF('_motor'!$B$649=0,"",'_motor'!$C$649)</f>
        <v/>
      </c>
      <c r="D69" s="38">
        <f>IF('_motor'!$B$649=0,"",'_motor'!$D$649)</f>
        <v/>
      </c>
      <c r="E69" s="33">
        <f>IF(OR('_motor'!$B$649=0,'_motor'!$B$672=0),"",'_motor'!$C$649/'_motor'!$B$672)</f>
        <v/>
      </c>
      <c r="F69" s="33">
        <f>IF(OR('_motor'!$B$649=0,'_motor'!$B$672=0),"",'_motor'!$D$649/'_motor'!$B$672)</f>
        <v/>
      </c>
      <c r="G69" s="22">
        <f>IF('_motor'!$B$649=0,"",SUMPRODUCT('_motor'!$B$586:$B$665*('_motor'!$C$586:$C$665&gt;'_motor'!$C$649))+(SUMPRODUCT('_motor'!$B$586:$B$665*('_motor'!$C$586:$C$665='_motor'!$C$649))+1)/2)</f>
        <v/>
      </c>
      <c r="H69" s="22">
        <f>IF('_motor'!$B$649=0,"",SUMPRODUCT('_motor'!$B$586:$B$665*('_motor'!$D$586:$D$665&gt;'_motor'!$D$649))+(SUMPRODUCT('_motor'!$B$586:$B$665*('_motor'!$D$586:$D$665='_motor'!$D$649))+1)/2)</f>
        <v/>
      </c>
      <c r="I69" s="19">
        <f>IF('_motor'!$B$649=0,"",IF(AND(ABS('_motor'!$C$649-'_motor'!$B$668)&lt;='_motor'!$B$676+0.000000001,ABS('_motor'!$D$649-'_motor'!$B$668)&lt;='_motor'!$B$676+0.000000001),"5 · Pelotón (no concluyente)",IF(AND('_motor'!$C$649&gt;='_motor'!$B$668,'_motor'!$D$649&lt;'_motor'!$B$668),"1 · Entrada / determinante",IF(AND('_motor'!$C$649&gt;='_motor'!$B$668,'_motor'!$D$649&gt;='_motor'!$B$668),"2 · Intermedia / de enlace",IF(AND('_motor'!$C$649&lt;'_motor'!$B$668,'_motor'!$D$649&gt;='_motor'!$B$668),"3 · Resultado","4 · Excluida / autónoma")))))</f>
        <v/>
      </c>
      <c r="J69" s="19">
        <f>IF('_motor'!$B$649=0,"",IF(AND(ABS('_motor'!$C$649-'_motor'!$B$668)&lt;='_motor'!$B$676+0.000000001,ABS('_motor'!$D$649-'_motor'!$B$668)&lt;='_motor'!$B$676+0.000000001),"Reguladora",IF(AND('_motor'!$C$649&gt;='_motor'!$B$668,'_motor'!$D$649&lt;0.5*'_motor'!$B$668),"Determinante / entorno",IF(AND('_motor'!$C$649&gt;='_motor'!$B$668,'_motor'!$D$649&lt;'_motor'!$B$668),"Palanca secundaria",IF(AND('_motor'!$C$649&gt;='_motor'!$B$668,'_motor'!$D$649&gt;='_motor'!$B$668),"Clave / de enlace",IF(AND('_motor'!$D$649&gt;='_motor'!$B$668,'_motor'!$C$649&gt;=0.5*'_motor'!$B$668),"Objetivo",IF('_motor'!$D$649&gt;='_motor'!$B$668,"Resultado","Autónoma")))))))</f>
        <v/>
      </c>
    </row>
    <row r="70" spans="1:10" x14ac:dyDescent="0.2">
      <c r="A70" s="21">
        <f>IF('_motor'!$B$650=0,"",'02 · Variables'!$B$71)</f>
        <v/>
      </c>
      <c r="B70" s="19">
        <f>IF('_motor'!$B$650=0,"",'02 · Variables'!$C$71)</f>
        <v/>
      </c>
      <c r="C70" s="38">
        <f>IF('_motor'!$B$650=0,"",'_motor'!$C$650)</f>
        <v/>
      </c>
      <c r="D70" s="38">
        <f>IF('_motor'!$B$650=0,"",'_motor'!$D$650)</f>
        <v/>
      </c>
      <c r="E70" s="33">
        <f>IF(OR('_motor'!$B$650=0,'_motor'!$B$672=0),"",'_motor'!$C$650/'_motor'!$B$672)</f>
        <v/>
      </c>
      <c r="F70" s="33">
        <f>IF(OR('_motor'!$B$650=0,'_motor'!$B$672=0),"",'_motor'!$D$650/'_motor'!$B$672)</f>
        <v/>
      </c>
      <c r="G70" s="22">
        <f>IF('_motor'!$B$650=0,"",SUMPRODUCT('_motor'!$B$586:$B$665*('_motor'!$C$586:$C$665&gt;'_motor'!$C$650))+(SUMPRODUCT('_motor'!$B$586:$B$665*('_motor'!$C$586:$C$665='_motor'!$C$650))+1)/2)</f>
        <v/>
      </c>
      <c r="H70" s="22">
        <f>IF('_motor'!$B$650=0,"",SUMPRODUCT('_motor'!$B$586:$B$665*('_motor'!$D$586:$D$665&gt;'_motor'!$D$650))+(SUMPRODUCT('_motor'!$B$586:$B$665*('_motor'!$D$586:$D$665='_motor'!$D$650))+1)/2)</f>
        <v/>
      </c>
      <c r="I70" s="19">
        <f>IF('_motor'!$B$650=0,"",IF(AND(ABS('_motor'!$C$650-'_motor'!$B$668)&lt;='_motor'!$B$676+0.000000001,ABS('_motor'!$D$650-'_motor'!$B$668)&lt;='_motor'!$B$676+0.000000001),"5 · Pelotón (no concluyente)",IF(AND('_motor'!$C$650&gt;='_motor'!$B$668,'_motor'!$D$650&lt;'_motor'!$B$668),"1 · Entrada / determinante",IF(AND('_motor'!$C$650&gt;='_motor'!$B$668,'_motor'!$D$650&gt;='_motor'!$B$668),"2 · Intermedia / de enlace",IF(AND('_motor'!$C$650&lt;'_motor'!$B$668,'_motor'!$D$650&gt;='_motor'!$B$668),"3 · Resultado","4 · Excluida / autónoma")))))</f>
        <v/>
      </c>
      <c r="J70" s="19">
        <f>IF('_motor'!$B$650=0,"",IF(AND(ABS('_motor'!$C$650-'_motor'!$B$668)&lt;='_motor'!$B$676+0.000000001,ABS('_motor'!$D$650-'_motor'!$B$668)&lt;='_motor'!$B$676+0.000000001),"Reguladora",IF(AND('_motor'!$C$650&gt;='_motor'!$B$668,'_motor'!$D$650&lt;0.5*'_motor'!$B$668),"Determinante / entorno",IF(AND('_motor'!$C$650&gt;='_motor'!$B$668,'_motor'!$D$650&lt;'_motor'!$B$668),"Palanca secundaria",IF(AND('_motor'!$C$650&gt;='_motor'!$B$668,'_motor'!$D$650&gt;='_motor'!$B$668),"Clave / de enlace",IF(AND('_motor'!$D$650&gt;='_motor'!$B$668,'_motor'!$C$650&gt;=0.5*'_motor'!$B$668),"Objetivo",IF('_motor'!$D$650&gt;='_motor'!$B$668,"Resultado","Autónoma")))))))</f>
        <v/>
      </c>
    </row>
    <row r="71" spans="1:10" x14ac:dyDescent="0.2">
      <c r="A71" s="21">
        <f>IF('_motor'!$B$651=0,"",'02 · Variables'!$B$72)</f>
        <v/>
      </c>
      <c r="B71" s="19">
        <f>IF('_motor'!$B$651=0,"",'02 · Variables'!$C$72)</f>
        <v/>
      </c>
      <c r="C71" s="38">
        <f>IF('_motor'!$B$651=0,"",'_motor'!$C$651)</f>
        <v/>
      </c>
      <c r="D71" s="38">
        <f>IF('_motor'!$B$651=0,"",'_motor'!$D$651)</f>
        <v/>
      </c>
      <c r="E71" s="33">
        <f>IF(OR('_motor'!$B$651=0,'_motor'!$B$672=0),"",'_motor'!$C$651/'_motor'!$B$672)</f>
        <v/>
      </c>
      <c r="F71" s="33">
        <f>IF(OR('_motor'!$B$651=0,'_motor'!$B$672=0),"",'_motor'!$D$651/'_motor'!$B$672)</f>
        <v/>
      </c>
      <c r="G71" s="22">
        <f>IF('_motor'!$B$651=0,"",SUMPRODUCT('_motor'!$B$586:$B$665*('_motor'!$C$586:$C$665&gt;'_motor'!$C$651))+(SUMPRODUCT('_motor'!$B$586:$B$665*('_motor'!$C$586:$C$665='_motor'!$C$651))+1)/2)</f>
        <v/>
      </c>
      <c r="H71" s="22">
        <f>IF('_motor'!$B$651=0,"",SUMPRODUCT('_motor'!$B$586:$B$665*('_motor'!$D$586:$D$665&gt;'_motor'!$D$651))+(SUMPRODUCT('_motor'!$B$586:$B$665*('_motor'!$D$586:$D$665='_motor'!$D$651))+1)/2)</f>
        <v/>
      </c>
      <c r="I71" s="19">
        <f>IF('_motor'!$B$651=0,"",IF(AND(ABS('_motor'!$C$651-'_motor'!$B$668)&lt;='_motor'!$B$676+0.000000001,ABS('_motor'!$D$651-'_motor'!$B$668)&lt;='_motor'!$B$676+0.000000001),"5 · Pelotón (no concluyente)",IF(AND('_motor'!$C$651&gt;='_motor'!$B$668,'_motor'!$D$651&lt;'_motor'!$B$668),"1 · Entrada / determinante",IF(AND('_motor'!$C$651&gt;='_motor'!$B$668,'_motor'!$D$651&gt;='_motor'!$B$668),"2 · Intermedia / de enlace",IF(AND('_motor'!$C$651&lt;'_motor'!$B$668,'_motor'!$D$651&gt;='_motor'!$B$668),"3 · Resultado","4 · Excluida / autónoma")))))</f>
        <v/>
      </c>
      <c r="J71" s="19">
        <f>IF('_motor'!$B$651=0,"",IF(AND(ABS('_motor'!$C$651-'_motor'!$B$668)&lt;='_motor'!$B$676+0.000000001,ABS('_motor'!$D$651-'_motor'!$B$668)&lt;='_motor'!$B$676+0.000000001),"Reguladora",IF(AND('_motor'!$C$651&gt;='_motor'!$B$668,'_motor'!$D$651&lt;0.5*'_motor'!$B$668),"Determinante / entorno",IF(AND('_motor'!$C$651&gt;='_motor'!$B$668,'_motor'!$D$651&lt;'_motor'!$B$668),"Palanca secundaria",IF(AND('_motor'!$C$651&gt;='_motor'!$B$668,'_motor'!$D$651&gt;='_motor'!$B$668),"Clave / de enlace",IF(AND('_motor'!$D$651&gt;='_motor'!$B$668,'_motor'!$C$651&gt;=0.5*'_motor'!$B$668),"Objetivo",IF('_motor'!$D$651&gt;='_motor'!$B$668,"Resultado","Autónoma")))))))</f>
        <v/>
      </c>
    </row>
    <row r="72" spans="1:10" x14ac:dyDescent="0.2">
      <c r="A72" s="21">
        <f>IF('_motor'!$B$652=0,"",'02 · Variables'!$B$73)</f>
        <v/>
      </c>
      <c r="B72" s="19">
        <f>IF('_motor'!$B$652=0,"",'02 · Variables'!$C$73)</f>
        <v/>
      </c>
      <c r="C72" s="38">
        <f>IF('_motor'!$B$652=0,"",'_motor'!$C$652)</f>
        <v/>
      </c>
      <c r="D72" s="38">
        <f>IF('_motor'!$B$652=0,"",'_motor'!$D$652)</f>
        <v/>
      </c>
      <c r="E72" s="33">
        <f>IF(OR('_motor'!$B$652=0,'_motor'!$B$672=0),"",'_motor'!$C$652/'_motor'!$B$672)</f>
        <v/>
      </c>
      <c r="F72" s="33">
        <f>IF(OR('_motor'!$B$652=0,'_motor'!$B$672=0),"",'_motor'!$D$652/'_motor'!$B$672)</f>
        <v/>
      </c>
      <c r="G72" s="22">
        <f>IF('_motor'!$B$652=0,"",SUMPRODUCT('_motor'!$B$586:$B$665*('_motor'!$C$586:$C$665&gt;'_motor'!$C$652))+(SUMPRODUCT('_motor'!$B$586:$B$665*('_motor'!$C$586:$C$665='_motor'!$C$652))+1)/2)</f>
        <v/>
      </c>
      <c r="H72" s="22">
        <f>IF('_motor'!$B$652=0,"",SUMPRODUCT('_motor'!$B$586:$B$665*('_motor'!$D$586:$D$665&gt;'_motor'!$D$652))+(SUMPRODUCT('_motor'!$B$586:$B$665*('_motor'!$D$586:$D$665='_motor'!$D$652))+1)/2)</f>
        <v/>
      </c>
      <c r="I72" s="19">
        <f>IF('_motor'!$B$652=0,"",IF(AND(ABS('_motor'!$C$652-'_motor'!$B$668)&lt;='_motor'!$B$676+0.000000001,ABS('_motor'!$D$652-'_motor'!$B$668)&lt;='_motor'!$B$676+0.000000001),"5 · Pelotón (no concluyente)",IF(AND('_motor'!$C$652&gt;='_motor'!$B$668,'_motor'!$D$652&lt;'_motor'!$B$668),"1 · Entrada / determinante",IF(AND('_motor'!$C$652&gt;='_motor'!$B$668,'_motor'!$D$652&gt;='_motor'!$B$668),"2 · Intermedia / de enlace",IF(AND('_motor'!$C$652&lt;'_motor'!$B$668,'_motor'!$D$652&gt;='_motor'!$B$668),"3 · Resultado","4 · Excluida / autónoma")))))</f>
        <v/>
      </c>
      <c r="J72" s="19">
        <f>IF('_motor'!$B$652=0,"",IF(AND(ABS('_motor'!$C$652-'_motor'!$B$668)&lt;='_motor'!$B$676+0.000000001,ABS('_motor'!$D$652-'_motor'!$B$668)&lt;='_motor'!$B$676+0.000000001),"Reguladora",IF(AND('_motor'!$C$652&gt;='_motor'!$B$668,'_motor'!$D$652&lt;0.5*'_motor'!$B$668),"Determinante / entorno",IF(AND('_motor'!$C$652&gt;='_motor'!$B$668,'_motor'!$D$652&lt;'_motor'!$B$668),"Palanca secundaria",IF(AND('_motor'!$C$652&gt;='_motor'!$B$668,'_motor'!$D$652&gt;='_motor'!$B$668),"Clave / de enlace",IF(AND('_motor'!$D$652&gt;='_motor'!$B$668,'_motor'!$C$652&gt;=0.5*'_motor'!$B$668),"Objetivo",IF('_motor'!$D$652&gt;='_motor'!$B$668,"Resultado","Autónoma")))))))</f>
        <v/>
      </c>
    </row>
    <row r="73" spans="1:10" x14ac:dyDescent="0.2">
      <c r="A73" s="21">
        <f>IF('_motor'!$B$653=0,"",'02 · Variables'!$B$74)</f>
        <v/>
      </c>
      <c r="B73" s="19">
        <f>IF('_motor'!$B$653=0,"",'02 · Variables'!$C$74)</f>
        <v/>
      </c>
      <c r="C73" s="38">
        <f>IF('_motor'!$B$653=0,"",'_motor'!$C$653)</f>
        <v/>
      </c>
      <c r="D73" s="38">
        <f>IF('_motor'!$B$653=0,"",'_motor'!$D$653)</f>
        <v/>
      </c>
      <c r="E73" s="33">
        <f>IF(OR('_motor'!$B$653=0,'_motor'!$B$672=0),"",'_motor'!$C$653/'_motor'!$B$672)</f>
        <v/>
      </c>
      <c r="F73" s="33">
        <f>IF(OR('_motor'!$B$653=0,'_motor'!$B$672=0),"",'_motor'!$D$653/'_motor'!$B$672)</f>
        <v/>
      </c>
      <c r="G73" s="22">
        <f>IF('_motor'!$B$653=0,"",SUMPRODUCT('_motor'!$B$586:$B$665*('_motor'!$C$586:$C$665&gt;'_motor'!$C$653))+(SUMPRODUCT('_motor'!$B$586:$B$665*('_motor'!$C$586:$C$665='_motor'!$C$653))+1)/2)</f>
        <v/>
      </c>
      <c r="H73" s="22">
        <f>IF('_motor'!$B$653=0,"",SUMPRODUCT('_motor'!$B$586:$B$665*('_motor'!$D$586:$D$665&gt;'_motor'!$D$653))+(SUMPRODUCT('_motor'!$B$586:$B$665*('_motor'!$D$586:$D$665='_motor'!$D$653))+1)/2)</f>
        <v/>
      </c>
      <c r="I73" s="19">
        <f>IF('_motor'!$B$653=0,"",IF(AND(ABS('_motor'!$C$653-'_motor'!$B$668)&lt;='_motor'!$B$676+0.000000001,ABS('_motor'!$D$653-'_motor'!$B$668)&lt;='_motor'!$B$676+0.000000001),"5 · Pelotón (no concluyente)",IF(AND('_motor'!$C$653&gt;='_motor'!$B$668,'_motor'!$D$653&lt;'_motor'!$B$668),"1 · Entrada / determinante",IF(AND('_motor'!$C$653&gt;='_motor'!$B$668,'_motor'!$D$653&gt;='_motor'!$B$668),"2 · Intermedia / de enlace",IF(AND('_motor'!$C$653&lt;'_motor'!$B$668,'_motor'!$D$653&gt;='_motor'!$B$668),"3 · Resultado","4 · Excluida / autónoma")))))</f>
        <v/>
      </c>
      <c r="J73" s="19">
        <f>IF('_motor'!$B$653=0,"",IF(AND(ABS('_motor'!$C$653-'_motor'!$B$668)&lt;='_motor'!$B$676+0.000000001,ABS('_motor'!$D$653-'_motor'!$B$668)&lt;='_motor'!$B$676+0.000000001),"Reguladora",IF(AND('_motor'!$C$653&gt;='_motor'!$B$668,'_motor'!$D$653&lt;0.5*'_motor'!$B$668),"Determinante / entorno",IF(AND('_motor'!$C$653&gt;='_motor'!$B$668,'_motor'!$D$653&lt;'_motor'!$B$668),"Palanca secundaria",IF(AND('_motor'!$C$653&gt;='_motor'!$B$668,'_motor'!$D$653&gt;='_motor'!$B$668),"Clave / de enlace",IF(AND('_motor'!$D$653&gt;='_motor'!$B$668,'_motor'!$C$653&gt;=0.5*'_motor'!$B$668),"Objetivo",IF('_motor'!$D$653&gt;='_motor'!$B$668,"Resultado","Autónoma")))))))</f>
        <v/>
      </c>
    </row>
    <row r="74" spans="1:10" x14ac:dyDescent="0.2">
      <c r="A74" s="21">
        <f>IF('_motor'!$B$654=0,"",'02 · Variables'!$B$75)</f>
        <v/>
      </c>
      <c r="B74" s="19">
        <f>IF('_motor'!$B$654=0,"",'02 · Variables'!$C$75)</f>
        <v/>
      </c>
      <c r="C74" s="38">
        <f>IF('_motor'!$B$654=0,"",'_motor'!$C$654)</f>
        <v/>
      </c>
      <c r="D74" s="38">
        <f>IF('_motor'!$B$654=0,"",'_motor'!$D$654)</f>
        <v/>
      </c>
      <c r="E74" s="33">
        <f>IF(OR('_motor'!$B$654=0,'_motor'!$B$672=0),"",'_motor'!$C$654/'_motor'!$B$672)</f>
        <v/>
      </c>
      <c r="F74" s="33">
        <f>IF(OR('_motor'!$B$654=0,'_motor'!$B$672=0),"",'_motor'!$D$654/'_motor'!$B$672)</f>
        <v/>
      </c>
      <c r="G74" s="22">
        <f>IF('_motor'!$B$654=0,"",SUMPRODUCT('_motor'!$B$586:$B$665*('_motor'!$C$586:$C$665&gt;'_motor'!$C$654))+(SUMPRODUCT('_motor'!$B$586:$B$665*('_motor'!$C$586:$C$665='_motor'!$C$654))+1)/2)</f>
        <v/>
      </c>
      <c r="H74" s="22">
        <f>IF('_motor'!$B$654=0,"",SUMPRODUCT('_motor'!$B$586:$B$665*('_motor'!$D$586:$D$665&gt;'_motor'!$D$654))+(SUMPRODUCT('_motor'!$B$586:$B$665*('_motor'!$D$586:$D$665='_motor'!$D$654))+1)/2)</f>
        <v/>
      </c>
      <c r="I74" s="19">
        <f>IF('_motor'!$B$654=0,"",IF(AND(ABS('_motor'!$C$654-'_motor'!$B$668)&lt;='_motor'!$B$676+0.000000001,ABS('_motor'!$D$654-'_motor'!$B$668)&lt;='_motor'!$B$676+0.000000001),"5 · Pelotón (no concluyente)",IF(AND('_motor'!$C$654&gt;='_motor'!$B$668,'_motor'!$D$654&lt;'_motor'!$B$668),"1 · Entrada / determinante",IF(AND('_motor'!$C$654&gt;='_motor'!$B$668,'_motor'!$D$654&gt;='_motor'!$B$668),"2 · Intermedia / de enlace",IF(AND('_motor'!$C$654&lt;'_motor'!$B$668,'_motor'!$D$654&gt;='_motor'!$B$668),"3 · Resultado","4 · Excluida / autónoma")))))</f>
        <v/>
      </c>
      <c r="J74" s="19">
        <f>IF('_motor'!$B$654=0,"",IF(AND(ABS('_motor'!$C$654-'_motor'!$B$668)&lt;='_motor'!$B$676+0.000000001,ABS('_motor'!$D$654-'_motor'!$B$668)&lt;='_motor'!$B$676+0.000000001),"Reguladora",IF(AND('_motor'!$C$654&gt;='_motor'!$B$668,'_motor'!$D$654&lt;0.5*'_motor'!$B$668),"Determinante / entorno",IF(AND('_motor'!$C$654&gt;='_motor'!$B$668,'_motor'!$D$654&lt;'_motor'!$B$668),"Palanca secundaria",IF(AND('_motor'!$C$654&gt;='_motor'!$B$668,'_motor'!$D$654&gt;='_motor'!$B$668),"Clave / de enlace",IF(AND('_motor'!$D$654&gt;='_motor'!$B$668,'_motor'!$C$654&gt;=0.5*'_motor'!$B$668),"Objetivo",IF('_motor'!$D$654&gt;='_motor'!$B$668,"Resultado","Autónoma")))))))</f>
        <v/>
      </c>
    </row>
    <row r="75" spans="1:10" x14ac:dyDescent="0.2">
      <c r="A75" s="21">
        <f>IF('_motor'!$B$655=0,"",'02 · Variables'!$B$76)</f>
        <v/>
      </c>
      <c r="B75" s="19">
        <f>IF('_motor'!$B$655=0,"",'02 · Variables'!$C$76)</f>
        <v/>
      </c>
      <c r="C75" s="38">
        <f>IF('_motor'!$B$655=0,"",'_motor'!$C$655)</f>
        <v/>
      </c>
      <c r="D75" s="38">
        <f>IF('_motor'!$B$655=0,"",'_motor'!$D$655)</f>
        <v/>
      </c>
      <c r="E75" s="33">
        <f>IF(OR('_motor'!$B$655=0,'_motor'!$B$672=0),"",'_motor'!$C$655/'_motor'!$B$672)</f>
        <v/>
      </c>
      <c r="F75" s="33">
        <f>IF(OR('_motor'!$B$655=0,'_motor'!$B$672=0),"",'_motor'!$D$655/'_motor'!$B$672)</f>
        <v/>
      </c>
      <c r="G75" s="22">
        <f>IF('_motor'!$B$655=0,"",SUMPRODUCT('_motor'!$B$586:$B$665*('_motor'!$C$586:$C$665&gt;'_motor'!$C$655))+(SUMPRODUCT('_motor'!$B$586:$B$665*('_motor'!$C$586:$C$665='_motor'!$C$655))+1)/2)</f>
        <v/>
      </c>
      <c r="H75" s="22">
        <f>IF('_motor'!$B$655=0,"",SUMPRODUCT('_motor'!$B$586:$B$665*('_motor'!$D$586:$D$665&gt;'_motor'!$D$655))+(SUMPRODUCT('_motor'!$B$586:$B$665*('_motor'!$D$586:$D$665='_motor'!$D$655))+1)/2)</f>
        <v/>
      </c>
      <c r="I75" s="19">
        <f>IF('_motor'!$B$655=0,"",IF(AND(ABS('_motor'!$C$655-'_motor'!$B$668)&lt;='_motor'!$B$676+0.000000001,ABS('_motor'!$D$655-'_motor'!$B$668)&lt;='_motor'!$B$676+0.000000001),"5 · Pelotón (no concluyente)",IF(AND('_motor'!$C$655&gt;='_motor'!$B$668,'_motor'!$D$655&lt;'_motor'!$B$668),"1 · Entrada / determinante",IF(AND('_motor'!$C$655&gt;='_motor'!$B$668,'_motor'!$D$655&gt;='_motor'!$B$668),"2 · Intermedia / de enlace",IF(AND('_motor'!$C$655&lt;'_motor'!$B$668,'_motor'!$D$655&gt;='_motor'!$B$668),"3 · Resultado","4 · Excluida / autónoma")))))</f>
        <v/>
      </c>
      <c r="J75" s="19">
        <f>IF('_motor'!$B$655=0,"",IF(AND(ABS('_motor'!$C$655-'_motor'!$B$668)&lt;='_motor'!$B$676+0.000000001,ABS('_motor'!$D$655-'_motor'!$B$668)&lt;='_motor'!$B$676+0.000000001),"Reguladora",IF(AND('_motor'!$C$655&gt;='_motor'!$B$668,'_motor'!$D$655&lt;0.5*'_motor'!$B$668),"Determinante / entorno",IF(AND('_motor'!$C$655&gt;='_motor'!$B$668,'_motor'!$D$655&lt;'_motor'!$B$668),"Palanca secundaria",IF(AND('_motor'!$C$655&gt;='_motor'!$B$668,'_motor'!$D$655&gt;='_motor'!$B$668),"Clave / de enlace",IF(AND('_motor'!$D$655&gt;='_motor'!$B$668,'_motor'!$C$655&gt;=0.5*'_motor'!$B$668),"Objetivo",IF('_motor'!$D$655&gt;='_motor'!$B$668,"Resultado","Autónoma")))))))</f>
        <v/>
      </c>
    </row>
    <row r="76" spans="1:10" x14ac:dyDescent="0.2">
      <c r="A76" s="21">
        <f>IF('_motor'!$B$656=0,"",'02 · Variables'!$B$77)</f>
        <v/>
      </c>
      <c r="B76" s="19">
        <f>IF('_motor'!$B$656=0,"",'02 · Variables'!$C$77)</f>
        <v/>
      </c>
      <c r="C76" s="38">
        <f>IF('_motor'!$B$656=0,"",'_motor'!$C$656)</f>
        <v/>
      </c>
      <c r="D76" s="38">
        <f>IF('_motor'!$B$656=0,"",'_motor'!$D$656)</f>
        <v/>
      </c>
      <c r="E76" s="33">
        <f>IF(OR('_motor'!$B$656=0,'_motor'!$B$672=0),"",'_motor'!$C$656/'_motor'!$B$672)</f>
        <v/>
      </c>
      <c r="F76" s="33">
        <f>IF(OR('_motor'!$B$656=0,'_motor'!$B$672=0),"",'_motor'!$D$656/'_motor'!$B$672)</f>
        <v/>
      </c>
      <c r="G76" s="22">
        <f>IF('_motor'!$B$656=0,"",SUMPRODUCT('_motor'!$B$586:$B$665*('_motor'!$C$586:$C$665&gt;'_motor'!$C$656))+(SUMPRODUCT('_motor'!$B$586:$B$665*('_motor'!$C$586:$C$665='_motor'!$C$656))+1)/2)</f>
        <v/>
      </c>
      <c r="H76" s="22">
        <f>IF('_motor'!$B$656=0,"",SUMPRODUCT('_motor'!$B$586:$B$665*('_motor'!$D$586:$D$665&gt;'_motor'!$D$656))+(SUMPRODUCT('_motor'!$B$586:$B$665*('_motor'!$D$586:$D$665='_motor'!$D$656))+1)/2)</f>
        <v/>
      </c>
      <c r="I76" s="19">
        <f>IF('_motor'!$B$656=0,"",IF(AND(ABS('_motor'!$C$656-'_motor'!$B$668)&lt;='_motor'!$B$676+0.000000001,ABS('_motor'!$D$656-'_motor'!$B$668)&lt;='_motor'!$B$676+0.000000001),"5 · Pelotón (no concluyente)",IF(AND('_motor'!$C$656&gt;='_motor'!$B$668,'_motor'!$D$656&lt;'_motor'!$B$668),"1 · Entrada / determinante",IF(AND('_motor'!$C$656&gt;='_motor'!$B$668,'_motor'!$D$656&gt;='_motor'!$B$668),"2 · Intermedia / de enlace",IF(AND('_motor'!$C$656&lt;'_motor'!$B$668,'_motor'!$D$656&gt;='_motor'!$B$668),"3 · Resultado","4 · Excluida / autónoma")))))</f>
        <v/>
      </c>
      <c r="J76" s="19">
        <f>IF('_motor'!$B$656=0,"",IF(AND(ABS('_motor'!$C$656-'_motor'!$B$668)&lt;='_motor'!$B$676+0.000000001,ABS('_motor'!$D$656-'_motor'!$B$668)&lt;='_motor'!$B$676+0.000000001),"Reguladora",IF(AND('_motor'!$C$656&gt;='_motor'!$B$668,'_motor'!$D$656&lt;0.5*'_motor'!$B$668),"Determinante / entorno",IF(AND('_motor'!$C$656&gt;='_motor'!$B$668,'_motor'!$D$656&lt;'_motor'!$B$668),"Palanca secundaria",IF(AND('_motor'!$C$656&gt;='_motor'!$B$668,'_motor'!$D$656&gt;='_motor'!$B$668),"Clave / de enlace",IF(AND('_motor'!$D$656&gt;='_motor'!$B$668,'_motor'!$C$656&gt;=0.5*'_motor'!$B$668),"Objetivo",IF('_motor'!$D$656&gt;='_motor'!$B$668,"Resultado","Autónoma")))))))</f>
        <v/>
      </c>
    </row>
    <row r="77" spans="1:10" x14ac:dyDescent="0.2">
      <c r="A77" s="21">
        <f>IF('_motor'!$B$657=0,"",'02 · Variables'!$B$78)</f>
        <v/>
      </c>
      <c r="B77" s="19">
        <f>IF('_motor'!$B$657=0,"",'02 · Variables'!$C$78)</f>
        <v/>
      </c>
      <c r="C77" s="38">
        <f>IF('_motor'!$B$657=0,"",'_motor'!$C$657)</f>
        <v/>
      </c>
      <c r="D77" s="38">
        <f>IF('_motor'!$B$657=0,"",'_motor'!$D$657)</f>
        <v/>
      </c>
      <c r="E77" s="33">
        <f>IF(OR('_motor'!$B$657=0,'_motor'!$B$672=0),"",'_motor'!$C$657/'_motor'!$B$672)</f>
        <v/>
      </c>
      <c r="F77" s="33">
        <f>IF(OR('_motor'!$B$657=0,'_motor'!$B$672=0),"",'_motor'!$D$657/'_motor'!$B$672)</f>
        <v/>
      </c>
      <c r="G77" s="22">
        <f>IF('_motor'!$B$657=0,"",SUMPRODUCT('_motor'!$B$586:$B$665*('_motor'!$C$586:$C$665&gt;'_motor'!$C$657))+(SUMPRODUCT('_motor'!$B$586:$B$665*('_motor'!$C$586:$C$665='_motor'!$C$657))+1)/2)</f>
        <v/>
      </c>
      <c r="H77" s="22">
        <f>IF('_motor'!$B$657=0,"",SUMPRODUCT('_motor'!$B$586:$B$665*('_motor'!$D$586:$D$665&gt;'_motor'!$D$657))+(SUMPRODUCT('_motor'!$B$586:$B$665*('_motor'!$D$586:$D$665='_motor'!$D$657))+1)/2)</f>
        <v/>
      </c>
      <c r="I77" s="19">
        <f>IF('_motor'!$B$657=0,"",IF(AND(ABS('_motor'!$C$657-'_motor'!$B$668)&lt;='_motor'!$B$676+0.000000001,ABS('_motor'!$D$657-'_motor'!$B$668)&lt;='_motor'!$B$676+0.000000001),"5 · Pelotón (no concluyente)",IF(AND('_motor'!$C$657&gt;='_motor'!$B$668,'_motor'!$D$657&lt;'_motor'!$B$668),"1 · Entrada / determinante",IF(AND('_motor'!$C$657&gt;='_motor'!$B$668,'_motor'!$D$657&gt;='_motor'!$B$668),"2 · Intermedia / de enlace",IF(AND('_motor'!$C$657&lt;'_motor'!$B$668,'_motor'!$D$657&gt;='_motor'!$B$668),"3 · Resultado","4 · Excluida / autónoma")))))</f>
        <v/>
      </c>
      <c r="J77" s="19">
        <f>IF('_motor'!$B$657=0,"",IF(AND(ABS('_motor'!$C$657-'_motor'!$B$668)&lt;='_motor'!$B$676+0.000000001,ABS('_motor'!$D$657-'_motor'!$B$668)&lt;='_motor'!$B$676+0.000000001),"Reguladora",IF(AND('_motor'!$C$657&gt;='_motor'!$B$668,'_motor'!$D$657&lt;0.5*'_motor'!$B$668),"Determinante / entorno",IF(AND('_motor'!$C$657&gt;='_motor'!$B$668,'_motor'!$D$657&lt;'_motor'!$B$668),"Palanca secundaria",IF(AND('_motor'!$C$657&gt;='_motor'!$B$668,'_motor'!$D$657&gt;='_motor'!$B$668),"Clave / de enlace",IF(AND('_motor'!$D$657&gt;='_motor'!$B$668,'_motor'!$C$657&gt;=0.5*'_motor'!$B$668),"Objetivo",IF('_motor'!$D$657&gt;='_motor'!$B$668,"Resultado","Autónoma")))))))</f>
        <v/>
      </c>
    </row>
    <row r="78" spans="1:10" x14ac:dyDescent="0.2">
      <c r="A78" s="21">
        <f>IF('_motor'!$B$658=0,"",'02 · Variables'!$B$79)</f>
        <v/>
      </c>
      <c r="B78" s="19">
        <f>IF('_motor'!$B$658=0,"",'02 · Variables'!$C$79)</f>
        <v/>
      </c>
      <c r="C78" s="38">
        <f>IF('_motor'!$B$658=0,"",'_motor'!$C$658)</f>
        <v/>
      </c>
      <c r="D78" s="38">
        <f>IF('_motor'!$B$658=0,"",'_motor'!$D$658)</f>
        <v/>
      </c>
      <c r="E78" s="33">
        <f>IF(OR('_motor'!$B$658=0,'_motor'!$B$672=0),"",'_motor'!$C$658/'_motor'!$B$672)</f>
        <v/>
      </c>
      <c r="F78" s="33">
        <f>IF(OR('_motor'!$B$658=0,'_motor'!$B$672=0),"",'_motor'!$D$658/'_motor'!$B$672)</f>
        <v/>
      </c>
      <c r="G78" s="22">
        <f>IF('_motor'!$B$658=0,"",SUMPRODUCT('_motor'!$B$586:$B$665*('_motor'!$C$586:$C$665&gt;'_motor'!$C$658))+(SUMPRODUCT('_motor'!$B$586:$B$665*('_motor'!$C$586:$C$665='_motor'!$C$658))+1)/2)</f>
        <v/>
      </c>
      <c r="H78" s="22">
        <f>IF('_motor'!$B$658=0,"",SUMPRODUCT('_motor'!$B$586:$B$665*('_motor'!$D$586:$D$665&gt;'_motor'!$D$658))+(SUMPRODUCT('_motor'!$B$586:$B$665*('_motor'!$D$586:$D$665='_motor'!$D$658))+1)/2)</f>
        <v/>
      </c>
      <c r="I78" s="19">
        <f>IF('_motor'!$B$658=0,"",IF(AND(ABS('_motor'!$C$658-'_motor'!$B$668)&lt;='_motor'!$B$676+0.000000001,ABS('_motor'!$D$658-'_motor'!$B$668)&lt;='_motor'!$B$676+0.000000001),"5 · Pelotón (no concluyente)",IF(AND('_motor'!$C$658&gt;='_motor'!$B$668,'_motor'!$D$658&lt;'_motor'!$B$668),"1 · Entrada / determinante",IF(AND('_motor'!$C$658&gt;='_motor'!$B$668,'_motor'!$D$658&gt;='_motor'!$B$668),"2 · Intermedia / de enlace",IF(AND('_motor'!$C$658&lt;'_motor'!$B$668,'_motor'!$D$658&gt;='_motor'!$B$668),"3 · Resultado","4 · Excluida / autónoma")))))</f>
        <v/>
      </c>
      <c r="J78" s="19">
        <f>IF('_motor'!$B$658=0,"",IF(AND(ABS('_motor'!$C$658-'_motor'!$B$668)&lt;='_motor'!$B$676+0.000000001,ABS('_motor'!$D$658-'_motor'!$B$668)&lt;='_motor'!$B$676+0.000000001),"Reguladora",IF(AND('_motor'!$C$658&gt;='_motor'!$B$668,'_motor'!$D$658&lt;0.5*'_motor'!$B$668),"Determinante / entorno",IF(AND('_motor'!$C$658&gt;='_motor'!$B$668,'_motor'!$D$658&lt;'_motor'!$B$668),"Palanca secundaria",IF(AND('_motor'!$C$658&gt;='_motor'!$B$668,'_motor'!$D$658&gt;='_motor'!$B$668),"Clave / de enlace",IF(AND('_motor'!$D$658&gt;='_motor'!$B$668,'_motor'!$C$658&gt;=0.5*'_motor'!$B$668),"Objetivo",IF('_motor'!$D$658&gt;='_motor'!$B$668,"Resultado","Autónoma")))))))</f>
        <v/>
      </c>
    </row>
    <row r="79" spans="1:10" x14ac:dyDescent="0.2">
      <c r="A79" s="21">
        <f>IF('_motor'!$B$659=0,"",'02 · Variables'!$B$80)</f>
        <v/>
      </c>
      <c r="B79" s="19">
        <f>IF('_motor'!$B$659=0,"",'02 · Variables'!$C$80)</f>
        <v/>
      </c>
      <c r="C79" s="38">
        <f>IF('_motor'!$B$659=0,"",'_motor'!$C$659)</f>
        <v/>
      </c>
      <c r="D79" s="38">
        <f>IF('_motor'!$B$659=0,"",'_motor'!$D$659)</f>
        <v/>
      </c>
      <c r="E79" s="33">
        <f>IF(OR('_motor'!$B$659=0,'_motor'!$B$672=0),"",'_motor'!$C$659/'_motor'!$B$672)</f>
        <v/>
      </c>
      <c r="F79" s="33">
        <f>IF(OR('_motor'!$B$659=0,'_motor'!$B$672=0),"",'_motor'!$D$659/'_motor'!$B$672)</f>
        <v/>
      </c>
      <c r="G79" s="22">
        <f>IF('_motor'!$B$659=0,"",SUMPRODUCT('_motor'!$B$586:$B$665*('_motor'!$C$586:$C$665&gt;'_motor'!$C$659))+(SUMPRODUCT('_motor'!$B$586:$B$665*('_motor'!$C$586:$C$665='_motor'!$C$659))+1)/2)</f>
        <v/>
      </c>
      <c r="H79" s="22">
        <f>IF('_motor'!$B$659=0,"",SUMPRODUCT('_motor'!$B$586:$B$665*('_motor'!$D$586:$D$665&gt;'_motor'!$D$659))+(SUMPRODUCT('_motor'!$B$586:$B$665*('_motor'!$D$586:$D$665='_motor'!$D$659))+1)/2)</f>
        <v/>
      </c>
      <c r="I79" s="19">
        <f>IF('_motor'!$B$659=0,"",IF(AND(ABS('_motor'!$C$659-'_motor'!$B$668)&lt;='_motor'!$B$676+0.000000001,ABS('_motor'!$D$659-'_motor'!$B$668)&lt;='_motor'!$B$676+0.000000001),"5 · Pelotón (no concluyente)",IF(AND('_motor'!$C$659&gt;='_motor'!$B$668,'_motor'!$D$659&lt;'_motor'!$B$668),"1 · Entrada / determinante",IF(AND('_motor'!$C$659&gt;='_motor'!$B$668,'_motor'!$D$659&gt;='_motor'!$B$668),"2 · Intermedia / de enlace",IF(AND('_motor'!$C$659&lt;'_motor'!$B$668,'_motor'!$D$659&gt;='_motor'!$B$668),"3 · Resultado","4 · Excluida / autónoma")))))</f>
        <v/>
      </c>
      <c r="J79" s="19">
        <f>IF('_motor'!$B$659=0,"",IF(AND(ABS('_motor'!$C$659-'_motor'!$B$668)&lt;='_motor'!$B$676+0.000000001,ABS('_motor'!$D$659-'_motor'!$B$668)&lt;='_motor'!$B$676+0.000000001),"Reguladora",IF(AND('_motor'!$C$659&gt;='_motor'!$B$668,'_motor'!$D$659&lt;0.5*'_motor'!$B$668),"Determinante / entorno",IF(AND('_motor'!$C$659&gt;='_motor'!$B$668,'_motor'!$D$659&lt;'_motor'!$B$668),"Palanca secundaria",IF(AND('_motor'!$C$659&gt;='_motor'!$B$668,'_motor'!$D$659&gt;='_motor'!$B$668),"Clave / de enlace",IF(AND('_motor'!$D$659&gt;='_motor'!$B$668,'_motor'!$C$659&gt;=0.5*'_motor'!$B$668),"Objetivo",IF('_motor'!$D$659&gt;='_motor'!$B$668,"Resultado","Autónoma")))))))</f>
        <v/>
      </c>
    </row>
    <row r="80" spans="1:10" x14ac:dyDescent="0.2">
      <c r="A80" s="21">
        <f>IF('_motor'!$B$660=0,"",'02 · Variables'!$B$81)</f>
        <v/>
      </c>
      <c r="B80" s="19">
        <f>IF('_motor'!$B$660=0,"",'02 · Variables'!$C$81)</f>
        <v/>
      </c>
      <c r="C80" s="38">
        <f>IF('_motor'!$B$660=0,"",'_motor'!$C$660)</f>
        <v/>
      </c>
      <c r="D80" s="38">
        <f>IF('_motor'!$B$660=0,"",'_motor'!$D$660)</f>
        <v/>
      </c>
      <c r="E80" s="33">
        <f>IF(OR('_motor'!$B$660=0,'_motor'!$B$672=0),"",'_motor'!$C$660/'_motor'!$B$672)</f>
        <v/>
      </c>
      <c r="F80" s="33">
        <f>IF(OR('_motor'!$B$660=0,'_motor'!$B$672=0),"",'_motor'!$D$660/'_motor'!$B$672)</f>
        <v/>
      </c>
      <c r="G80" s="22">
        <f>IF('_motor'!$B$660=0,"",SUMPRODUCT('_motor'!$B$586:$B$665*('_motor'!$C$586:$C$665&gt;'_motor'!$C$660))+(SUMPRODUCT('_motor'!$B$586:$B$665*('_motor'!$C$586:$C$665='_motor'!$C$660))+1)/2)</f>
        <v/>
      </c>
      <c r="H80" s="22">
        <f>IF('_motor'!$B$660=0,"",SUMPRODUCT('_motor'!$B$586:$B$665*('_motor'!$D$586:$D$665&gt;'_motor'!$D$660))+(SUMPRODUCT('_motor'!$B$586:$B$665*('_motor'!$D$586:$D$665='_motor'!$D$660))+1)/2)</f>
        <v/>
      </c>
      <c r="I80" s="19">
        <f>IF('_motor'!$B$660=0,"",IF(AND(ABS('_motor'!$C$660-'_motor'!$B$668)&lt;='_motor'!$B$676+0.000000001,ABS('_motor'!$D$660-'_motor'!$B$668)&lt;='_motor'!$B$676+0.000000001),"5 · Pelotón (no concluyente)",IF(AND('_motor'!$C$660&gt;='_motor'!$B$668,'_motor'!$D$660&lt;'_motor'!$B$668),"1 · Entrada / determinante",IF(AND('_motor'!$C$660&gt;='_motor'!$B$668,'_motor'!$D$660&gt;='_motor'!$B$668),"2 · Intermedia / de enlace",IF(AND('_motor'!$C$660&lt;'_motor'!$B$668,'_motor'!$D$660&gt;='_motor'!$B$668),"3 · Resultado","4 · Excluida / autónoma")))))</f>
        <v/>
      </c>
      <c r="J80" s="19">
        <f>IF('_motor'!$B$660=0,"",IF(AND(ABS('_motor'!$C$660-'_motor'!$B$668)&lt;='_motor'!$B$676+0.000000001,ABS('_motor'!$D$660-'_motor'!$B$668)&lt;='_motor'!$B$676+0.000000001),"Reguladora",IF(AND('_motor'!$C$660&gt;='_motor'!$B$668,'_motor'!$D$660&lt;0.5*'_motor'!$B$668),"Determinante / entorno",IF(AND('_motor'!$C$660&gt;='_motor'!$B$668,'_motor'!$D$660&lt;'_motor'!$B$668),"Palanca secundaria",IF(AND('_motor'!$C$660&gt;='_motor'!$B$668,'_motor'!$D$660&gt;='_motor'!$B$668),"Clave / de enlace",IF(AND('_motor'!$D$660&gt;='_motor'!$B$668,'_motor'!$C$660&gt;=0.5*'_motor'!$B$668),"Objetivo",IF('_motor'!$D$660&gt;='_motor'!$B$668,"Resultado","Autónoma")))))))</f>
        <v/>
      </c>
    </row>
    <row r="81" spans="1:10" x14ac:dyDescent="0.2">
      <c r="A81" s="21">
        <f>IF('_motor'!$B$661=0,"",'02 · Variables'!$B$82)</f>
        <v/>
      </c>
      <c r="B81" s="19">
        <f>IF('_motor'!$B$661=0,"",'02 · Variables'!$C$82)</f>
        <v/>
      </c>
      <c r="C81" s="38">
        <f>IF('_motor'!$B$661=0,"",'_motor'!$C$661)</f>
        <v/>
      </c>
      <c r="D81" s="38">
        <f>IF('_motor'!$B$661=0,"",'_motor'!$D$661)</f>
        <v/>
      </c>
      <c r="E81" s="33">
        <f>IF(OR('_motor'!$B$661=0,'_motor'!$B$672=0),"",'_motor'!$C$661/'_motor'!$B$672)</f>
        <v/>
      </c>
      <c r="F81" s="33">
        <f>IF(OR('_motor'!$B$661=0,'_motor'!$B$672=0),"",'_motor'!$D$661/'_motor'!$B$672)</f>
        <v/>
      </c>
      <c r="G81" s="22">
        <f>IF('_motor'!$B$661=0,"",SUMPRODUCT('_motor'!$B$586:$B$665*('_motor'!$C$586:$C$665&gt;'_motor'!$C$661))+(SUMPRODUCT('_motor'!$B$586:$B$665*('_motor'!$C$586:$C$665='_motor'!$C$661))+1)/2)</f>
        <v/>
      </c>
      <c r="H81" s="22">
        <f>IF('_motor'!$B$661=0,"",SUMPRODUCT('_motor'!$B$586:$B$665*('_motor'!$D$586:$D$665&gt;'_motor'!$D$661))+(SUMPRODUCT('_motor'!$B$586:$B$665*('_motor'!$D$586:$D$665='_motor'!$D$661))+1)/2)</f>
        <v/>
      </c>
      <c r="I81" s="19">
        <f>IF('_motor'!$B$661=0,"",IF(AND(ABS('_motor'!$C$661-'_motor'!$B$668)&lt;='_motor'!$B$676+0.000000001,ABS('_motor'!$D$661-'_motor'!$B$668)&lt;='_motor'!$B$676+0.000000001),"5 · Pelotón (no concluyente)",IF(AND('_motor'!$C$661&gt;='_motor'!$B$668,'_motor'!$D$661&lt;'_motor'!$B$668),"1 · Entrada / determinante",IF(AND('_motor'!$C$661&gt;='_motor'!$B$668,'_motor'!$D$661&gt;='_motor'!$B$668),"2 · Intermedia / de enlace",IF(AND('_motor'!$C$661&lt;'_motor'!$B$668,'_motor'!$D$661&gt;='_motor'!$B$668),"3 · Resultado","4 · Excluida / autónoma")))))</f>
        <v/>
      </c>
      <c r="J81" s="19">
        <f>IF('_motor'!$B$661=0,"",IF(AND(ABS('_motor'!$C$661-'_motor'!$B$668)&lt;='_motor'!$B$676+0.000000001,ABS('_motor'!$D$661-'_motor'!$B$668)&lt;='_motor'!$B$676+0.000000001),"Reguladora",IF(AND('_motor'!$C$661&gt;='_motor'!$B$668,'_motor'!$D$661&lt;0.5*'_motor'!$B$668),"Determinante / entorno",IF(AND('_motor'!$C$661&gt;='_motor'!$B$668,'_motor'!$D$661&lt;'_motor'!$B$668),"Palanca secundaria",IF(AND('_motor'!$C$661&gt;='_motor'!$B$668,'_motor'!$D$661&gt;='_motor'!$B$668),"Clave / de enlace",IF(AND('_motor'!$D$661&gt;='_motor'!$B$668,'_motor'!$C$661&gt;=0.5*'_motor'!$B$668),"Objetivo",IF('_motor'!$D$661&gt;='_motor'!$B$668,"Resultado","Autónoma")))))))</f>
        <v/>
      </c>
    </row>
    <row r="82" spans="1:10" x14ac:dyDescent="0.2">
      <c r="A82" s="21">
        <f>IF('_motor'!$B$662=0,"",'02 · Variables'!$B$83)</f>
        <v/>
      </c>
      <c r="B82" s="19">
        <f>IF('_motor'!$B$662=0,"",'02 · Variables'!$C$83)</f>
        <v/>
      </c>
      <c r="C82" s="38">
        <f>IF('_motor'!$B$662=0,"",'_motor'!$C$662)</f>
        <v/>
      </c>
      <c r="D82" s="38">
        <f>IF('_motor'!$B$662=0,"",'_motor'!$D$662)</f>
        <v/>
      </c>
      <c r="E82" s="33">
        <f>IF(OR('_motor'!$B$662=0,'_motor'!$B$672=0),"",'_motor'!$C$662/'_motor'!$B$672)</f>
        <v/>
      </c>
      <c r="F82" s="33">
        <f>IF(OR('_motor'!$B$662=0,'_motor'!$B$672=0),"",'_motor'!$D$662/'_motor'!$B$672)</f>
        <v/>
      </c>
      <c r="G82" s="22">
        <f>IF('_motor'!$B$662=0,"",SUMPRODUCT('_motor'!$B$586:$B$665*('_motor'!$C$586:$C$665&gt;'_motor'!$C$662))+(SUMPRODUCT('_motor'!$B$586:$B$665*('_motor'!$C$586:$C$665='_motor'!$C$662))+1)/2)</f>
        <v/>
      </c>
      <c r="H82" s="22">
        <f>IF('_motor'!$B$662=0,"",SUMPRODUCT('_motor'!$B$586:$B$665*('_motor'!$D$586:$D$665&gt;'_motor'!$D$662))+(SUMPRODUCT('_motor'!$B$586:$B$665*('_motor'!$D$586:$D$665='_motor'!$D$662))+1)/2)</f>
        <v/>
      </c>
      <c r="I82" s="19">
        <f>IF('_motor'!$B$662=0,"",IF(AND(ABS('_motor'!$C$662-'_motor'!$B$668)&lt;='_motor'!$B$676+0.000000001,ABS('_motor'!$D$662-'_motor'!$B$668)&lt;='_motor'!$B$676+0.000000001),"5 · Pelotón (no concluyente)",IF(AND('_motor'!$C$662&gt;='_motor'!$B$668,'_motor'!$D$662&lt;'_motor'!$B$668),"1 · Entrada / determinante",IF(AND('_motor'!$C$662&gt;='_motor'!$B$668,'_motor'!$D$662&gt;='_motor'!$B$668),"2 · Intermedia / de enlace",IF(AND('_motor'!$C$662&lt;'_motor'!$B$668,'_motor'!$D$662&gt;='_motor'!$B$668),"3 · Resultado","4 · Excluida / autónoma")))))</f>
        <v/>
      </c>
      <c r="J82" s="19">
        <f>IF('_motor'!$B$662=0,"",IF(AND(ABS('_motor'!$C$662-'_motor'!$B$668)&lt;='_motor'!$B$676+0.000000001,ABS('_motor'!$D$662-'_motor'!$B$668)&lt;='_motor'!$B$676+0.000000001),"Reguladora",IF(AND('_motor'!$C$662&gt;='_motor'!$B$668,'_motor'!$D$662&lt;0.5*'_motor'!$B$668),"Determinante / entorno",IF(AND('_motor'!$C$662&gt;='_motor'!$B$668,'_motor'!$D$662&lt;'_motor'!$B$668),"Palanca secundaria",IF(AND('_motor'!$C$662&gt;='_motor'!$B$668,'_motor'!$D$662&gt;='_motor'!$B$668),"Clave / de enlace",IF(AND('_motor'!$D$662&gt;='_motor'!$B$668,'_motor'!$C$662&gt;=0.5*'_motor'!$B$668),"Objetivo",IF('_motor'!$D$662&gt;='_motor'!$B$668,"Resultado","Autónoma")))))))</f>
        <v/>
      </c>
    </row>
    <row r="83" spans="1:10" x14ac:dyDescent="0.2">
      <c r="A83" s="21">
        <f>IF('_motor'!$B$663=0,"",'02 · Variables'!$B$84)</f>
        <v/>
      </c>
      <c r="B83" s="19">
        <f>IF('_motor'!$B$663=0,"",'02 · Variables'!$C$84)</f>
        <v/>
      </c>
      <c r="C83" s="38">
        <f>IF('_motor'!$B$663=0,"",'_motor'!$C$663)</f>
        <v/>
      </c>
      <c r="D83" s="38">
        <f>IF('_motor'!$B$663=0,"",'_motor'!$D$663)</f>
        <v/>
      </c>
      <c r="E83" s="33">
        <f>IF(OR('_motor'!$B$663=0,'_motor'!$B$672=0),"",'_motor'!$C$663/'_motor'!$B$672)</f>
        <v/>
      </c>
      <c r="F83" s="33">
        <f>IF(OR('_motor'!$B$663=0,'_motor'!$B$672=0),"",'_motor'!$D$663/'_motor'!$B$672)</f>
        <v/>
      </c>
      <c r="G83" s="22">
        <f>IF('_motor'!$B$663=0,"",SUMPRODUCT('_motor'!$B$586:$B$665*('_motor'!$C$586:$C$665&gt;'_motor'!$C$663))+(SUMPRODUCT('_motor'!$B$586:$B$665*('_motor'!$C$586:$C$665='_motor'!$C$663))+1)/2)</f>
        <v/>
      </c>
      <c r="H83" s="22">
        <f>IF('_motor'!$B$663=0,"",SUMPRODUCT('_motor'!$B$586:$B$665*('_motor'!$D$586:$D$665&gt;'_motor'!$D$663))+(SUMPRODUCT('_motor'!$B$586:$B$665*('_motor'!$D$586:$D$665='_motor'!$D$663))+1)/2)</f>
        <v/>
      </c>
      <c r="I83" s="19">
        <f>IF('_motor'!$B$663=0,"",IF(AND(ABS('_motor'!$C$663-'_motor'!$B$668)&lt;='_motor'!$B$676+0.000000001,ABS('_motor'!$D$663-'_motor'!$B$668)&lt;='_motor'!$B$676+0.000000001),"5 · Pelotón (no concluyente)",IF(AND('_motor'!$C$663&gt;='_motor'!$B$668,'_motor'!$D$663&lt;'_motor'!$B$668),"1 · Entrada / determinante",IF(AND('_motor'!$C$663&gt;='_motor'!$B$668,'_motor'!$D$663&gt;='_motor'!$B$668),"2 · Intermedia / de enlace",IF(AND('_motor'!$C$663&lt;'_motor'!$B$668,'_motor'!$D$663&gt;='_motor'!$B$668),"3 · Resultado","4 · Excluida / autónoma")))))</f>
        <v/>
      </c>
      <c r="J83" s="19">
        <f>IF('_motor'!$B$663=0,"",IF(AND(ABS('_motor'!$C$663-'_motor'!$B$668)&lt;='_motor'!$B$676+0.000000001,ABS('_motor'!$D$663-'_motor'!$B$668)&lt;='_motor'!$B$676+0.000000001),"Reguladora",IF(AND('_motor'!$C$663&gt;='_motor'!$B$668,'_motor'!$D$663&lt;0.5*'_motor'!$B$668),"Determinante / entorno",IF(AND('_motor'!$C$663&gt;='_motor'!$B$668,'_motor'!$D$663&lt;'_motor'!$B$668),"Palanca secundaria",IF(AND('_motor'!$C$663&gt;='_motor'!$B$668,'_motor'!$D$663&gt;='_motor'!$B$668),"Clave / de enlace",IF(AND('_motor'!$D$663&gt;='_motor'!$B$668,'_motor'!$C$663&gt;=0.5*'_motor'!$B$668),"Objetivo",IF('_motor'!$D$663&gt;='_motor'!$B$668,"Resultado","Autónoma")))))))</f>
        <v/>
      </c>
    </row>
    <row r="84" spans="1:10" x14ac:dyDescent="0.2">
      <c r="A84" s="21">
        <f>IF('_motor'!$B$664=0,"",'02 · Variables'!$B$85)</f>
        <v/>
      </c>
      <c r="B84" s="19">
        <f>IF('_motor'!$B$664=0,"",'02 · Variables'!$C$85)</f>
        <v/>
      </c>
      <c r="C84" s="38">
        <f>IF('_motor'!$B$664=0,"",'_motor'!$C$664)</f>
        <v/>
      </c>
      <c r="D84" s="38">
        <f>IF('_motor'!$B$664=0,"",'_motor'!$D$664)</f>
        <v/>
      </c>
      <c r="E84" s="33">
        <f>IF(OR('_motor'!$B$664=0,'_motor'!$B$672=0),"",'_motor'!$C$664/'_motor'!$B$672)</f>
        <v/>
      </c>
      <c r="F84" s="33">
        <f>IF(OR('_motor'!$B$664=0,'_motor'!$B$672=0),"",'_motor'!$D$664/'_motor'!$B$672)</f>
        <v/>
      </c>
      <c r="G84" s="22">
        <f>IF('_motor'!$B$664=0,"",SUMPRODUCT('_motor'!$B$586:$B$665*('_motor'!$C$586:$C$665&gt;'_motor'!$C$664))+(SUMPRODUCT('_motor'!$B$586:$B$665*('_motor'!$C$586:$C$665='_motor'!$C$664))+1)/2)</f>
        <v/>
      </c>
      <c r="H84" s="22">
        <f>IF('_motor'!$B$664=0,"",SUMPRODUCT('_motor'!$B$586:$B$665*('_motor'!$D$586:$D$665&gt;'_motor'!$D$664))+(SUMPRODUCT('_motor'!$B$586:$B$665*('_motor'!$D$586:$D$665='_motor'!$D$664))+1)/2)</f>
        <v/>
      </c>
      <c r="I84" s="19">
        <f>IF('_motor'!$B$664=0,"",IF(AND(ABS('_motor'!$C$664-'_motor'!$B$668)&lt;='_motor'!$B$676+0.000000001,ABS('_motor'!$D$664-'_motor'!$B$668)&lt;='_motor'!$B$676+0.000000001),"5 · Pelotón (no concluyente)",IF(AND('_motor'!$C$664&gt;='_motor'!$B$668,'_motor'!$D$664&lt;'_motor'!$B$668),"1 · Entrada / determinante",IF(AND('_motor'!$C$664&gt;='_motor'!$B$668,'_motor'!$D$664&gt;='_motor'!$B$668),"2 · Intermedia / de enlace",IF(AND('_motor'!$C$664&lt;'_motor'!$B$668,'_motor'!$D$664&gt;='_motor'!$B$668),"3 · Resultado","4 · Excluida / autónoma")))))</f>
        <v/>
      </c>
      <c r="J84" s="19">
        <f>IF('_motor'!$B$664=0,"",IF(AND(ABS('_motor'!$C$664-'_motor'!$B$668)&lt;='_motor'!$B$676+0.000000001,ABS('_motor'!$D$664-'_motor'!$B$668)&lt;='_motor'!$B$676+0.000000001),"Reguladora",IF(AND('_motor'!$C$664&gt;='_motor'!$B$668,'_motor'!$D$664&lt;0.5*'_motor'!$B$668),"Determinante / entorno",IF(AND('_motor'!$C$664&gt;='_motor'!$B$668,'_motor'!$D$664&lt;'_motor'!$B$668),"Palanca secundaria",IF(AND('_motor'!$C$664&gt;='_motor'!$B$668,'_motor'!$D$664&gt;='_motor'!$B$668),"Clave / de enlace",IF(AND('_motor'!$D$664&gt;='_motor'!$B$668,'_motor'!$C$664&gt;=0.5*'_motor'!$B$668),"Objetivo",IF('_motor'!$D$664&gt;='_motor'!$B$668,"Resultado","Autónoma")))))))</f>
        <v/>
      </c>
    </row>
    <row r="85" spans="1:10" x14ac:dyDescent="0.2">
      <c r="A85" s="21">
        <f>IF('_motor'!$B$665=0,"",'02 · Variables'!$B$86)</f>
        <v/>
      </c>
      <c r="B85" s="19">
        <f>IF('_motor'!$B$665=0,"",'02 · Variables'!$C$86)</f>
        <v/>
      </c>
      <c r="C85" s="38">
        <f>IF('_motor'!$B$665=0,"",'_motor'!$C$665)</f>
        <v/>
      </c>
      <c r="D85" s="38">
        <f>IF('_motor'!$B$665=0,"",'_motor'!$D$665)</f>
        <v/>
      </c>
      <c r="E85" s="33">
        <f>IF(OR('_motor'!$B$665=0,'_motor'!$B$672=0),"",'_motor'!$C$665/'_motor'!$B$672)</f>
        <v/>
      </c>
      <c r="F85" s="33">
        <f>IF(OR('_motor'!$B$665=0,'_motor'!$B$672=0),"",'_motor'!$D$665/'_motor'!$B$672)</f>
        <v/>
      </c>
      <c r="G85" s="22">
        <f>IF('_motor'!$B$665=0,"",SUMPRODUCT('_motor'!$B$586:$B$665*('_motor'!$C$586:$C$665&gt;'_motor'!$C$665))+(SUMPRODUCT('_motor'!$B$586:$B$665*('_motor'!$C$586:$C$665='_motor'!$C$665))+1)/2)</f>
        <v/>
      </c>
      <c r="H85" s="22">
        <f>IF('_motor'!$B$665=0,"",SUMPRODUCT('_motor'!$B$586:$B$665*('_motor'!$D$586:$D$665&gt;'_motor'!$D$665))+(SUMPRODUCT('_motor'!$B$586:$B$665*('_motor'!$D$586:$D$665='_motor'!$D$665))+1)/2)</f>
        <v/>
      </c>
      <c r="I85" s="19">
        <f>IF('_motor'!$B$665=0,"",IF(AND(ABS('_motor'!$C$665-'_motor'!$B$668)&lt;='_motor'!$B$676+0.000000001,ABS('_motor'!$D$665-'_motor'!$B$668)&lt;='_motor'!$B$676+0.000000001),"5 · Pelotón (no concluyente)",IF(AND('_motor'!$C$665&gt;='_motor'!$B$668,'_motor'!$D$665&lt;'_motor'!$B$668),"1 · Entrada / determinante",IF(AND('_motor'!$C$665&gt;='_motor'!$B$668,'_motor'!$D$665&gt;='_motor'!$B$668),"2 · Intermedia / de enlace",IF(AND('_motor'!$C$665&lt;'_motor'!$B$668,'_motor'!$D$665&gt;='_motor'!$B$668),"3 · Resultado","4 · Excluida / autónoma")))))</f>
        <v/>
      </c>
      <c r="J85" s="19">
        <f>IF('_motor'!$B$665=0,"",IF(AND(ABS('_motor'!$C$665-'_motor'!$B$668)&lt;='_motor'!$B$676+0.000000001,ABS('_motor'!$D$665-'_motor'!$B$668)&lt;='_motor'!$B$676+0.000000001),"Reguladora",IF(AND('_motor'!$C$665&gt;='_motor'!$B$668,'_motor'!$D$665&lt;0.5*'_motor'!$B$668),"Determinante / entorno",IF(AND('_motor'!$C$665&gt;='_motor'!$B$668,'_motor'!$D$665&lt;'_motor'!$B$668),"Palanca secundaria",IF(AND('_motor'!$C$665&gt;='_motor'!$B$668,'_motor'!$D$665&gt;='_motor'!$B$668),"Clave / de enlace",IF(AND('_motor'!$D$665&gt;='_motor'!$B$668,'_motor'!$C$665&gt;=0.5*'_motor'!$B$668),"Objetivo",IF('_motor'!$D$665&gt;='_motor'!$B$668,"Resultado","Autónoma")))))))</f>
        <v/>
      </c>
    </row>
    <row r="87" spans="1:10" ht="30" x14ac:dyDescent="0.2">
      <c r="B87" s="16" t="s">
        <v>388</v>
      </c>
      <c r="C87" s="39">
        <f>'_motor'!$B$668</f>
      </c>
    </row>
    <row r="88" spans="1:10" ht="30" x14ac:dyDescent="0.2">
      <c r="B88" s="16" t="s">
        <v>389</v>
      </c>
      <c r="C88" s="39">
        <f>'_motor'!$B$676</f>
      </c>
    </row>
    <row r="89" spans="1:10" ht="23.75" customHeight="1" x14ac:dyDescent="0.2">
      <c r="B89" s="16" t="s">
        <v>390</v>
      </c>
      <c r="C89" s="2" t="s">
        <v>391</v>
      </c>
      <c r="D89" s="2"/>
      <c r="E89" s="2"/>
      <c r="F89" s="2"/>
      <c r="G89" s="2"/>
      <c r="H89" s="2"/>
      <c r="I89" s="2"/>
      <c r="J89" s="2"/>
    </row>
  </sheetData>
  <sheetProtection password="CD7E" sheet="1" formatCells="0" formatColumns="0" formatRows="0" insertRows="0"/>
  <mergeCells count="1">
    <mergeCell ref="C89:J89"/>
  </mergeCells>
  <conditionalFormatting sqref="I6:I85">
    <cfRule type="expression" dxfId="33" priority="2">
      <formula>ISNUMBER(SEARCH("1 ·",$I6))</formula>
    </cfRule>
    <cfRule type="expression" dxfId="32" priority="3">
      <formula>ISNUMBER(SEARCH("2 ·",$I6))</formula>
    </cfRule>
    <cfRule type="expression" dxfId="31" priority="4">
      <formula>ISNUMBER(SEARCH("3 ·",$I6))</formula>
    </cfRule>
    <cfRule type="expression" dxfId="30" priority="5">
      <formula>ISNUMBER(SEARCH("4 ·",$I6))</formula>
    </cfRule>
    <cfRule type="expression" dxfId="29" priority="6">
      <formula>ISNUMBER(SEARCH("5 ·",$I6))</formula>
    </cfRule>
  </conditionalFormatting>
  <pageMargins left="0.5" right="0.5" top="0.6" bottom="0.6" header="0.3" footer="0.3"/>
  <pageSetup paperSize="9" scale="100" fitToWidth="1" fitToHeight="0" orientation="landscape" horizontalDpi="300" verticalDpi="300"/>
  <headerFooter>
    <oddHeader>&amp;R&amp;"Aptos,Regular"&amp;8&amp;K94A0AE09 Res Directos</oddHeader>
    <oddFooter>&amp;L&amp;"Aptos,Regular"&amp;8&amp;K94A0AEIntelKIT · MICMAC Professional v1.0&amp;R&amp;"Aptos,Regular"&amp;8&amp;K94A0AEPágina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F82C0"/>
    <pageSetUpPr fitToPage="1"/>
  </sheetPr>
  <dimension ref="A1:L8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30" customWidth="1"/>
    <col min="3" max="4" width="13" customWidth="1"/>
    <col min="5" max="8" width="10" customWidth="1"/>
    <col min="9" max="9" width="30" customWidth="1"/>
    <col min="10" max="10" width="26" customWidth="1"/>
    <col min="11" max="11" width="16" customWidth="1"/>
    <col min="12" max="12" width="40" customWidth="1"/>
  </cols>
  <sheetData>
    <row r="1" spans="1:9" ht="24" customHeight="1">
      <c r="A1" s="68"/>
      <c r="B1" s="65" t="inlineStr">
        <is>
          <t>◀ Inicio</t>
        </is>
      </c>
      <c r="C1" s="66" t="inlineStr">
        <is>
          <t>Bloque 3 · Resultados   ·   Clasificación indirecta   ·   Paso 10 de 22</t>
        </is>
      </c>
      <c r="D1" s="68"/>
      <c r="E1" s="68"/>
      <c r="F1" s="68"/>
      <c r="G1" s="68"/>
      <c r="H1" s="68"/>
      <c r="I1" s="67" t="inlineStr">
        <is>
          <t>Continuar ▶</t>
        </is>
      </c>
    </row>
    <row r="2" spans="1:12" ht="26" x14ac:dyDescent="0.2" customHeight="1">
      <c r="B2" s="72" t="s">
        <v>392</v>
      </c>
    </row>
    <row r="3" spans="1:12" ht="22" x14ac:dyDescent="0.2" customHeight="1">
      <c r="B3" s="73" t="s">
        <v>393</v>
      </c>
    </row>
    <row r="5" spans="1:12" ht="30" x14ac:dyDescent="0.2">
      <c r="A5" s="20" t="s">
        <v>147</v>
      </c>
      <c r="B5" s="20" t="s">
        <v>379</v>
      </c>
      <c r="C5" s="20" t="s">
        <v>380</v>
      </c>
      <c r="D5" s="20" t="s">
        <v>381</v>
      </c>
      <c r="E5" s="20" t="s">
        <v>382</v>
      </c>
      <c r="F5" s="20" t="s">
        <v>383</v>
      </c>
      <c r="G5" s="20" t="s">
        <v>384</v>
      </c>
      <c r="H5" s="20" t="s">
        <v>385</v>
      </c>
      <c r="I5" s="20" t="s">
        <v>386</v>
      </c>
      <c r="J5" s="20" t="s">
        <v>387</v>
      </c>
      <c r="K5" s="20" t="s">
        <v>394</v>
      </c>
      <c r="L5" s="20" t="s">
        <v>395</v>
      </c>
    </row>
    <row r="6" spans="1:12" x14ac:dyDescent="0.2">
      <c r="A6" s="21">
        <f>IF('_motor'!$B$586=0,"",'02 · Variables'!$B$7)</f>
        <v/>
      </c>
      <c r="B6" s="19">
        <f>IF('_motor'!$B$586=0,"",'02 · Variables'!$C$7)</f>
        <v/>
      </c>
      <c r="C6" s="38">
        <f>IF('_motor'!$B$586=0,"",'_motor'!$E$586)</f>
        <v/>
      </c>
      <c r="D6" s="38">
        <f>IF('_motor'!$B$586=0,"",'_motor'!$F$586)</f>
        <v/>
      </c>
      <c r="E6" s="33">
        <f>IF(OR('_motor'!$B$586=0,'_motor'!$B$673=0),"",'_motor'!$E$586/'_motor'!$B$673)</f>
        <v/>
      </c>
      <c r="F6" s="33">
        <f>IF(OR('_motor'!$B$586=0,'_motor'!$B$673=0),"",'_motor'!$F$586/'_motor'!$B$673)</f>
        <v/>
      </c>
      <c r="G6" s="22">
        <f>IF('_motor'!$B$586=0,"",SUMPRODUCT('_motor'!$B$586:$B$665*('_motor'!$E$586:$E$665&gt;'_motor'!$E$586))+(SUMPRODUCT('_motor'!$B$586:$B$665*('_motor'!$E$586:$E$665='_motor'!$E$586))+1)/2)</f>
        <v/>
      </c>
      <c r="H6" s="22">
        <f>IF('_motor'!$B$586=0,"",SUMPRODUCT('_motor'!$B$586:$B$665*('_motor'!$F$586:$F$665&gt;'_motor'!$F$586))+(SUMPRODUCT('_motor'!$B$586:$B$665*('_motor'!$F$586:$F$665='_motor'!$F$586))+1)/2)</f>
        <v/>
      </c>
      <c r="I6" s="19">
        <f>IF('_motor'!$B$586=0,"",IF(AND(ABS('_motor'!$E$586-'_motor'!$B$669)&lt;='_motor'!$B$677+0.000000001,ABS('_motor'!$F$586-'_motor'!$B$669)&lt;='_motor'!$B$677+0.000000001),"5 · Pelotón (no concluyente)",IF(AND('_motor'!$E$586&gt;='_motor'!$B$669,'_motor'!$F$586&lt;'_motor'!$B$669),"1 · Entrada / determinante",IF(AND('_motor'!$E$586&gt;='_motor'!$B$669,'_motor'!$F$586&gt;='_motor'!$B$669),"2 · Intermedia / de enlace",IF(AND('_motor'!$E$586&lt;'_motor'!$B$669,'_motor'!$F$586&gt;='_motor'!$B$669),"3 · Resultado","4 · Excluida / autónoma")))))</f>
        <v/>
      </c>
      <c r="J6" s="19">
        <f>IF('_motor'!$B$586=0,"",IF(AND(ABS('_motor'!$E$586-'_motor'!$B$669)&lt;='_motor'!$B$677+0.000000001,ABS('_motor'!$F$586-'_motor'!$B$669)&lt;='_motor'!$B$677+0.000000001),"Reguladora",IF(AND('_motor'!$E$586&gt;='_motor'!$B$669,'_motor'!$F$586&lt;0.5*'_motor'!$B$669),"Determinante / entorno",IF(AND('_motor'!$E$586&gt;='_motor'!$B$669,'_motor'!$F$586&lt;'_motor'!$B$669),"Palanca secundaria",IF(AND('_motor'!$E$586&gt;='_motor'!$B$669,'_motor'!$F$586&gt;='_motor'!$B$669),"Clave / de enlace",IF(AND('_motor'!$F$586&gt;='_motor'!$B$669,'_motor'!$E$586&gt;=0.5*'_motor'!$B$669),"Objetivo",IF('_motor'!$F$586&gt;='_motor'!$B$669,"Resultado","Autónoma")))))))</f>
        <v/>
      </c>
      <c r="K6" s="19">
        <f>IF('_motor'!$B$586=0,"",'_motor'!$M$586-'_motor'!$O$586)</f>
        <v/>
      </c>
      <c r="L6" s="19">
        <f>IF('_motor'!$B$586=0,"",IF('_motor'!$O$586&lt;'_motor'!$M$586-2,"▲ VARIABLE OCULTA (sube "&amp;TEXT('_motor'!$M$586-'_motor'!$O$586,"0")&amp;" puestos)",IF('_motor'!$O$586&gt;'_motor'!$M$586+2,"▼ Sobrevalorada en directo (baja "&amp;TEXT('_motor'!$O$586-'_motor'!$M$586,"0")&amp;")","= Estable")))</f>
        <v/>
      </c>
    </row>
    <row r="7" spans="1:12" x14ac:dyDescent="0.2">
      <c r="A7" s="21">
        <f>IF('_motor'!$B$587=0,"",'02 · Variables'!$B$8)</f>
        <v/>
      </c>
      <c r="B7" s="19">
        <f>IF('_motor'!$B$587=0,"",'02 · Variables'!$C$8)</f>
        <v/>
      </c>
      <c r="C7" s="38">
        <f>IF('_motor'!$B$587=0,"",'_motor'!$E$587)</f>
        <v/>
      </c>
      <c r="D7" s="38">
        <f>IF('_motor'!$B$587=0,"",'_motor'!$F$587)</f>
        <v/>
      </c>
      <c r="E7" s="33">
        <f>IF(OR('_motor'!$B$587=0,'_motor'!$B$673=0),"",'_motor'!$E$587/'_motor'!$B$673)</f>
        <v/>
      </c>
      <c r="F7" s="33">
        <f>IF(OR('_motor'!$B$587=0,'_motor'!$B$673=0),"",'_motor'!$F$587/'_motor'!$B$673)</f>
        <v/>
      </c>
      <c r="G7" s="22">
        <f>IF('_motor'!$B$587=0,"",SUMPRODUCT('_motor'!$B$586:$B$665*('_motor'!$E$586:$E$665&gt;'_motor'!$E$587))+(SUMPRODUCT('_motor'!$B$586:$B$665*('_motor'!$E$586:$E$665='_motor'!$E$587))+1)/2)</f>
        <v/>
      </c>
      <c r="H7" s="22">
        <f>IF('_motor'!$B$587=0,"",SUMPRODUCT('_motor'!$B$586:$B$665*('_motor'!$F$586:$F$665&gt;'_motor'!$F$587))+(SUMPRODUCT('_motor'!$B$586:$B$665*('_motor'!$F$586:$F$665='_motor'!$F$587))+1)/2)</f>
        <v/>
      </c>
      <c r="I7" s="19">
        <f>IF('_motor'!$B$587=0,"",IF(AND(ABS('_motor'!$E$587-'_motor'!$B$669)&lt;='_motor'!$B$677+0.000000001,ABS('_motor'!$F$587-'_motor'!$B$669)&lt;='_motor'!$B$677+0.000000001),"5 · Pelotón (no concluyente)",IF(AND('_motor'!$E$587&gt;='_motor'!$B$669,'_motor'!$F$587&lt;'_motor'!$B$669),"1 · Entrada / determinante",IF(AND('_motor'!$E$587&gt;='_motor'!$B$669,'_motor'!$F$587&gt;='_motor'!$B$669),"2 · Intermedia / de enlace",IF(AND('_motor'!$E$587&lt;'_motor'!$B$669,'_motor'!$F$587&gt;='_motor'!$B$669),"3 · Resultado","4 · Excluida / autónoma")))))</f>
        <v/>
      </c>
      <c r="J7" s="19">
        <f>IF('_motor'!$B$587=0,"",IF(AND(ABS('_motor'!$E$587-'_motor'!$B$669)&lt;='_motor'!$B$677+0.000000001,ABS('_motor'!$F$587-'_motor'!$B$669)&lt;='_motor'!$B$677+0.000000001),"Reguladora",IF(AND('_motor'!$E$587&gt;='_motor'!$B$669,'_motor'!$F$587&lt;0.5*'_motor'!$B$669),"Determinante / entorno",IF(AND('_motor'!$E$587&gt;='_motor'!$B$669,'_motor'!$F$587&lt;'_motor'!$B$669),"Palanca secundaria",IF(AND('_motor'!$E$587&gt;='_motor'!$B$669,'_motor'!$F$587&gt;='_motor'!$B$669),"Clave / de enlace",IF(AND('_motor'!$F$587&gt;='_motor'!$B$669,'_motor'!$E$587&gt;=0.5*'_motor'!$B$669),"Objetivo",IF('_motor'!$F$587&gt;='_motor'!$B$669,"Resultado","Autónoma")))))))</f>
        <v/>
      </c>
      <c r="K7" s="19">
        <f>IF('_motor'!$B$587=0,"",'_motor'!$M$587-'_motor'!$O$587)</f>
        <v/>
      </c>
      <c r="L7" s="19">
        <f>IF('_motor'!$B$587=0,"",IF('_motor'!$O$587&lt;'_motor'!$M$587-2,"▲ VARIABLE OCULTA (sube "&amp;TEXT('_motor'!$M$587-'_motor'!$O$587,"0")&amp;" puestos)",IF('_motor'!$O$587&gt;'_motor'!$M$587+2,"▼ Sobrevalorada en directo (baja "&amp;TEXT('_motor'!$O$587-'_motor'!$M$587,"0")&amp;")","= Estable")))</f>
        <v/>
      </c>
    </row>
    <row r="8" spans="1:12" x14ac:dyDescent="0.2">
      <c r="A8" s="21">
        <f>IF('_motor'!$B$588=0,"",'02 · Variables'!$B$9)</f>
        <v/>
      </c>
      <c r="B8" s="19">
        <f>IF('_motor'!$B$588=0,"",'02 · Variables'!$C$9)</f>
        <v/>
      </c>
      <c r="C8" s="38">
        <f>IF('_motor'!$B$588=0,"",'_motor'!$E$588)</f>
        <v/>
      </c>
      <c r="D8" s="38">
        <f>IF('_motor'!$B$588=0,"",'_motor'!$F$588)</f>
        <v/>
      </c>
      <c r="E8" s="33">
        <f>IF(OR('_motor'!$B$588=0,'_motor'!$B$673=0),"",'_motor'!$E$588/'_motor'!$B$673)</f>
        <v/>
      </c>
      <c r="F8" s="33">
        <f>IF(OR('_motor'!$B$588=0,'_motor'!$B$673=0),"",'_motor'!$F$588/'_motor'!$B$673)</f>
        <v/>
      </c>
      <c r="G8" s="22">
        <f>IF('_motor'!$B$588=0,"",SUMPRODUCT('_motor'!$B$586:$B$665*('_motor'!$E$586:$E$665&gt;'_motor'!$E$588))+(SUMPRODUCT('_motor'!$B$586:$B$665*('_motor'!$E$586:$E$665='_motor'!$E$588))+1)/2)</f>
        <v/>
      </c>
      <c r="H8" s="22">
        <f>IF('_motor'!$B$588=0,"",SUMPRODUCT('_motor'!$B$586:$B$665*('_motor'!$F$586:$F$665&gt;'_motor'!$F$588))+(SUMPRODUCT('_motor'!$B$586:$B$665*('_motor'!$F$586:$F$665='_motor'!$F$588))+1)/2)</f>
        <v/>
      </c>
      <c r="I8" s="19">
        <f>IF('_motor'!$B$588=0,"",IF(AND(ABS('_motor'!$E$588-'_motor'!$B$669)&lt;='_motor'!$B$677+0.000000001,ABS('_motor'!$F$588-'_motor'!$B$669)&lt;='_motor'!$B$677+0.000000001),"5 · Pelotón (no concluyente)",IF(AND('_motor'!$E$588&gt;='_motor'!$B$669,'_motor'!$F$588&lt;'_motor'!$B$669),"1 · Entrada / determinante",IF(AND('_motor'!$E$588&gt;='_motor'!$B$669,'_motor'!$F$588&gt;='_motor'!$B$669),"2 · Intermedia / de enlace",IF(AND('_motor'!$E$588&lt;'_motor'!$B$669,'_motor'!$F$588&gt;='_motor'!$B$669),"3 · Resultado","4 · Excluida / autónoma")))))</f>
        <v/>
      </c>
      <c r="J8" s="19">
        <f>IF('_motor'!$B$588=0,"",IF(AND(ABS('_motor'!$E$588-'_motor'!$B$669)&lt;='_motor'!$B$677+0.000000001,ABS('_motor'!$F$588-'_motor'!$B$669)&lt;='_motor'!$B$677+0.000000001),"Reguladora",IF(AND('_motor'!$E$588&gt;='_motor'!$B$669,'_motor'!$F$588&lt;0.5*'_motor'!$B$669),"Determinante / entorno",IF(AND('_motor'!$E$588&gt;='_motor'!$B$669,'_motor'!$F$588&lt;'_motor'!$B$669),"Palanca secundaria",IF(AND('_motor'!$E$588&gt;='_motor'!$B$669,'_motor'!$F$588&gt;='_motor'!$B$669),"Clave / de enlace",IF(AND('_motor'!$F$588&gt;='_motor'!$B$669,'_motor'!$E$588&gt;=0.5*'_motor'!$B$669),"Objetivo",IF('_motor'!$F$588&gt;='_motor'!$B$669,"Resultado","Autónoma")))))))</f>
        <v/>
      </c>
      <c r="K8" s="19">
        <f>IF('_motor'!$B$588=0,"",'_motor'!$M$588-'_motor'!$O$588)</f>
        <v/>
      </c>
      <c r="L8" s="19">
        <f>IF('_motor'!$B$588=0,"",IF('_motor'!$O$588&lt;'_motor'!$M$588-2,"▲ VARIABLE OCULTA (sube "&amp;TEXT('_motor'!$M$588-'_motor'!$O$588,"0")&amp;" puestos)",IF('_motor'!$O$588&gt;'_motor'!$M$588+2,"▼ Sobrevalorada en directo (baja "&amp;TEXT('_motor'!$O$588-'_motor'!$M$588,"0")&amp;")","= Estable")))</f>
        <v/>
      </c>
    </row>
    <row r="9" spans="1:12" x14ac:dyDescent="0.2">
      <c r="A9" s="21">
        <f>IF('_motor'!$B$589=0,"",'02 · Variables'!$B$10)</f>
        <v/>
      </c>
      <c r="B9" s="19">
        <f>IF('_motor'!$B$589=0,"",'02 · Variables'!$C$10)</f>
        <v/>
      </c>
      <c r="C9" s="38">
        <f>IF('_motor'!$B$589=0,"",'_motor'!$E$589)</f>
        <v/>
      </c>
      <c r="D9" s="38">
        <f>IF('_motor'!$B$589=0,"",'_motor'!$F$589)</f>
        <v/>
      </c>
      <c r="E9" s="33">
        <f>IF(OR('_motor'!$B$589=0,'_motor'!$B$673=0),"",'_motor'!$E$589/'_motor'!$B$673)</f>
        <v/>
      </c>
      <c r="F9" s="33">
        <f>IF(OR('_motor'!$B$589=0,'_motor'!$B$673=0),"",'_motor'!$F$589/'_motor'!$B$673)</f>
        <v/>
      </c>
      <c r="G9" s="22">
        <f>IF('_motor'!$B$589=0,"",SUMPRODUCT('_motor'!$B$586:$B$665*('_motor'!$E$586:$E$665&gt;'_motor'!$E$589))+(SUMPRODUCT('_motor'!$B$586:$B$665*('_motor'!$E$586:$E$665='_motor'!$E$589))+1)/2)</f>
        <v/>
      </c>
      <c r="H9" s="22">
        <f>IF('_motor'!$B$589=0,"",SUMPRODUCT('_motor'!$B$586:$B$665*('_motor'!$F$586:$F$665&gt;'_motor'!$F$589))+(SUMPRODUCT('_motor'!$B$586:$B$665*('_motor'!$F$586:$F$665='_motor'!$F$589))+1)/2)</f>
        <v/>
      </c>
      <c r="I9" s="19">
        <f>IF('_motor'!$B$589=0,"",IF(AND(ABS('_motor'!$E$589-'_motor'!$B$669)&lt;='_motor'!$B$677+0.000000001,ABS('_motor'!$F$589-'_motor'!$B$669)&lt;='_motor'!$B$677+0.000000001),"5 · Pelotón (no concluyente)",IF(AND('_motor'!$E$589&gt;='_motor'!$B$669,'_motor'!$F$589&lt;'_motor'!$B$669),"1 · Entrada / determinante",IF(AND('_motor'!$E$589&gt;='_motor'!$B$669,'_motor'!$F$589&gt;='_motor'!$B$669),"2 · Intermedia / de enlace",IF(AND('_motor'!$E$589&lt;'_motor'!$B$669,'_motor'!$F$589&gt;='_motor'!$B$669),"3 · Resultado","4 · Excluida / autónoma")))))</f>
        <v/>
      </c>
      <c r="J9" s="19">
        <f>IF('_motor'!$B$589=0,"",IF(AND(ABS('_motor'!$E$589-'_motor'!$B$669)&lt;='_motor'!$B$677+0.000000001,ABS('_motor'!$F$589-'_motor'!$B$669)&lt;='_motor'!$B$677+0.000000001),"Reguladora",IF(AND('_motor'!$E$589&gt;='_motor'!$B$669,'_motor'!$F$589&lt;0.5*'_motor'!$B$669),"Determinante / entorno",IF(AND('_motor'!$E$589&gt;='_motor'!$B$669,'_motor'!$F$589&lt;'_motor'!$B$669),"Palanca secundaria",IF(AND('_motor'!$E$589&gt;='_motor'!$B$669,'_motor'!$F$589&gt;='_motor'!$B$669),"Clave / de enlace",IF(AND('_motor'!$F$589&gt;='_motor'!$B$669,'_motor'!$E$589&gt;=0.5*'_motor'!$B$669),"Objetivo",IF('_motor'!$F$589&gt;='_motor'!$B$669,"Resultado","Autónoma")))))))</f>
        <v/>
      </c>
      <c r="K9" s="19">
        <f>IF('_motor'!$B$589=0,"",'_motor'!$M$589-'_motor'!$O$589)</f>
        <v/>
      </c>
      <c r="L9" s="19">
        <f>IF('_motor'!$B$589=0,"",IF('_motor'!$O$589&lt;'_motor'!$M$589-2,"▲ VARIABLE OCULTA (sube "&amp;TEXT('_motor'!$M$589-'_motor'!$O$589,"0")&amp;" puestos)",IF('_motor'!$O$589&gt;'_motor'!$M$589+2,"▼ Sobrevalorada en directo (baja "&amp;TEXT('_motor'!$O$589-'_motor'!$M$589,"0")&amp;")","= Estable")))</f>
        <v/>
      </c>
    </row>
    <row r="10" spans="1:12" x14ac:dyDescent="0.2">
      <c r="A10" s="21">
        <f>IF('_motor'!$B$590=0,"",'02 · Variables'!$B$11)</f>
        <v/>
      </c>
      <c r="B10" s="19">
        <f>IF('_motor'!$B$590=0,"",'02 · Variables'!$C$11)</f>
        <v/>
      </c>
      <c r="C10" s="38">
        <f>IF('_motor'!$B$590=0,"",'_motor'!$E$590)</f>
        <v/>
      </c>
      <c r="D10" s="38">
        <f>IF('_motor'!$B$590=0,"",'_motor'!$F$590)</f>
        <v/>
      </c>
      <c r="E10" s="33">
        <f>IF(OR('_motor'!$B$590=0,'_motor'!$B$673=0),"",'_motor'!$E$590/'_motor'!$B$673)</f>
        <v/>
      </c>
      <c r="F10" s="33">
        <f>IF(OR('_motor'!$B$590=0,'_motor'!$B$673=0),"",'_motor'!$F$590/'_motor'!$B$673)</f>
        <v/>
      </c>
      <c r="G10" s="22">
        <f>IF('_motor'!$B$590=0,"",SUMPRODUCT('_motor'!$B$586:$B$665*('_motor'!$E$586:$E$665&gt;'_motor'!$E$590))+(SUMPRODUCT('_motor'!$B$586:$B$665*('_motor'!$E$586:$E$665='_motor'!$E$590))+1)/2)</f>
        <v/>
      </c>
      <c r="H10" s="22">
        <f>IF('_motor'!$B$590=0,"",SUMPRODUCT('_motor'!$B$586:$B$665*('_motor'!$F$586:$F$665&gt;'_motor'!$F$590))+(SUMPRODUCT('_motor'!$B$586:$B$665*('_motor'!$F$586:$F$665='_motor'!$F$590))+1)/2)</f>
        <v/>
      </c>
      <c r="I10" s="19">
        <f>IF('_motor'!$B$590=0,"",IF(AND(ABS('_motor'!$E$590-'_motor'!$B$669)&lt;='_motor'!$B$677+0.000000001,ABS('_motor'!$F$590-'_motor'!$B$669)&lt;='_motor'!$B$677+0.000000001),"5 · Pelotón (no concluyente)",IF(AND('_motor'!$E$590&gt;='_motor'!$B$669,'_motor'!$F$590&lt;'_motor'!$B$669),"1 · Entrada / determinante",IF(AND('_motor'!$E$590&gt;='_motor'!$B$669,'_motor'!$F$590&gt;='_motor'!$B$669),"2 · Intermedia / de enlace",IF(AND('_motor'!$E$590&lt;'_motor'!$B$669,'_motor'!$F$590&gt;='_motor'!$B$669),"3 · Resultado","4 · Excluida / autónoma")))))</f>
        <v/>
      </c>
      <c r="J10" s="19">
        <f>IF('_motor'!$B$590=0,"",IF(AND(ABS('_motor'!$E$590-'_motor'!$B$669)&lt;='_motor'!$B$677+0.000000001,ABS('_motor'!$F$590-'_motor'!$B$669)&lt;='_motor'!$B$677+0.000000001),"Reguladora",IF(AND('_motor'!$E$590&gt;='_motor'!$B$669,'_motor'!$F$590&lt;0.5*'_motor'!$B$669),"Determinante / entorno",IF(AND('_motor'!$E$590&gt;='_motor'!$B$669,'_motor'!$F$590&lt;'_motor'!$B$669),"Palanca secundaria",IF(AND('_motor'!$E$590&gt;='_motor'!$B$669,'_motor'!$F$590&gt;='_motor'!$B$669),"Clave / de enlace",IF(AND('_motor'!$F$590&gt;='_motor'!$B$669,'_motor'!$E$590&gt;=0.5*'_motor'!$B$669),"Objetivo",IF('_motor'!$F$590&gt;='_motor'!$B$669,"Resultado","Autónoma")))))))</f>
        <v/>
      </c>
      <c r="K10" s="19">
        <f>IF('_motor'!$B$590=0,"",'_motor'!$M$590-'_motor'!$O$590)</f>
        <v/>
      </c>
      <c r="L10" s="19">
        <f>IF('_motor'!$B$590=0,"",IF('_motor'!$O$590&lt;'_motor'!$M$590-2,"▲ VARIABLE OCULTA (sube "&amp;TEXT('_motor'!$M$590-'_motor'!$O$590,"0")&amp;" puestos)",IF('_motor'!$O$590&gt;'_motor'!$M$590+2,"▼ Sobrevalorada en directo (baja "&amp;TEXT('_motor'!$O$590-'_motor'!$M$590,"0")&amp;")","= Estable")))</f>
        <v/>
      </c>
    </row>
    <row r="11" spans="1:12" x14ac:dyDescent="0.2">
      <c r="A11" s="21">
        <f>IF('_motor'!$B$591=0,"",'02 · Variables'!$B$12)</f>
        <v/>
      </c>
      <c r="B11" s="19">
        <f>IF('_motor'!$B$591=0,"",'02 · Variables'!$C$12)</f>
        <v/>
      </c>
      <c r="C11" s="38">
        <f>IF('_motor'!$B$591=0,"",'_motor'!$E$591)</f>
        <v/>
      </c>
      <c r="D11" s="38">
        <f>IF('_motor'!$B$591=0,"",'_motor'!$F$591)</f>
        <v/>
      </c>
      <c r="E11" s="33">
        <f>IF(OR('_motor'!$B$591=0,'_motor'!$B$673=0),"",'_motor'!$E$591/'_motor'!$B$673)</f>
        <v/>
      </c>
      <c r="F11" s="33">
        <f>IF(OR('_motor'!$B$591=0,'_motor'!$B$673=0),"",'_motor'!$F$591/'_motor'!$B$673)</f>
        <v/>
      </c>
      <c r="G11" s="22">
        <f>IF('_motor'!$B$591=0,"",SUMPRODUCT('_motor'!$B$586:$B$665*('_motor'!$E$586:$E$665&gt;'_motor'!$E$591))+(SUMPRODUCT('_motor'!$B$586:$B$665*('_motor'!$E$586:$E$665='_motor'!$E$591))+1)/2)</f>
        <v/>
      </c>
      <c r="H11" s="22">
        <f>IF('_motor'!$B$591=0,"",SUMPRODUCT('_motor'!$B$586:$B$665*('_motor'!$F$586:$F$665&gt;'_motor'!$F$591))+(SUMPRODUCT('_motor'!$B$586:$B$665*('_motor'!$F$586:$F$665='_motor'!$F$591))+1)/2)</f>
        <v/>
      </c>
      <c r="I11" s="19">
        <f>IF('_motor'!$B$591=0,"",IF(AND(ABS('_motor'!$E$591-'_motor'!$B$669)&lt;='_motor'!$B$677+0.000000001,ABS('_motor'!$F$591-'_motor'!$B$669)&lt;='_motor'!$B$677+0.000000001),"5 · Pelotón (no concluyente)",IF(AND('_motor'!$E$591&gt;='_motor'!$B$669,'_motor'!$F$591&lt;'_motor'!$B$669),"1 · Entrada / determinante",IF(AND('_motor'!$E$591&gt;='_motor'!$B$669,'_motor'!$F$591&gt;='_motor'!$B$669),"2 · Intermedia / de enlace",IF(AND('_motor'!$E$591&lt;'_motor'!$B$669,'_motor'!$F$591&gt;='_motor'!$B$669),"3 · Resultado","4 · Excluida / autónoma")))))</f>
        <v/>
      </c>
      <c r="J11" s="19">
        <f>IF('_motor'!$B$591=0,"",IF(AND(ABS('_motor'!$E$591-'_motor'!$B$669)&lt;='_motor'!$B$677+0.000000001,ABS('_motor'!$F$591-'_motor'!$B$669)&lt;='_motor'!$B$677+0.000000001),"Reguladora",IF(AND('_motor'!$E$591&gt;='_motor'!$B$669,'_motor'!$F$591&lt;0.5*'_motor'!$B$669),"Determinante / entorno",IF(AND('_motor'!$E$591&gt;='_motor'!$B$669,'_motor'!$F$591&lt;'_motor'!$B$669),"Palanca secundaria",IF(AND('_motor'!$E$591&gt;='_motor'!$B$669,'_motor'!$F$591&gt;='_motor'!$B$669),"Clave / de enlace",IF(AND('_motor'!$F$591&gt;='_motor'!$B$669,'_motor'!$E$591&gt;=0.5*'_motor'!$B$669),"Objetivo",IF('_motor'!$F$591&gt;='_motor'!$B$669,"Resultado","Autónoma")))))))</f>
        <v/>
      </c>
      <c r="K11" s="19">
        <f>IF('_motor'!$B$591=0,"",'_motor'!$M$591-'_motor'!$O$591)</f>
        <v/>
      </c>
      <c r="L11" s="19">
        <f>IF('_motor'!$B$591=0,"",IF('_motor'!$O$591&lt;'_motor'!$M$591-2,"▲ VARIABLE OCULTA (sube "&amp;TEXT('_motor'!$M$591-'_motor'!$O$591,"0")&amp;" puestos)",IF('_motor'!$O$591&gt;'_motor'!$M$591+2,"▼ Sobrevalorada en directo (baja "&amp;TEXT('_motor'!$O$591-'_motor'!$M$591,"0")&amp;")","= Estable")))</f>
        <v/>
      </c>
    </row>
    <row r="12" spans="1:12" x14ac:dyDescent="0.2">
      <c r="A12" s="21">
        <f>IF('_motor'!$B$592=0,"",'02 · Variables'!$B$13)</f>
        <v/>
      </c>
      <c r="B12" s="19">
        <f>IF('_motor'!$B$592=0,"",'02 · Variables'!$C$13)</f>
        <v/>
      </c>
      <c r="C12" s="38">
        <f>IF('_motor'!$B$592=0,"",'_motor'!$E$592)</f>
        <v/>
      </c>
      <c r="D12" s="38">
        <f>IF('_motor'!$B$592=0,"",'_motor'!$F$592)</f>
        <v/>
      </c>
      <c r="E12" s="33">
        <f>IF(OR('_motor'!$B$592=0,'_motor'!$B$673=0),"",'_motor'!$E$592/'_motor'!$B$673)</f>
        <v/>
      </c>
      <c r="F12" s="33">
        <f>IF(OR('_motor'!$B$592=0,'_motor'!$B$673=0),"",'_motor'!$F$592/'_motor'!$B$673)</f>
        <v/>
      </c>
      <c r="G12" s="22">
        <f>IF('_motor'!$B$592=0,"",SUMPRODUCT('_motor'!$B$586:$B$665*('_motor'!$E$586:$E$665&gt;'_motor'!$E$592))+(SUMPRODUCT('_motor'!$B$586:$B$665*('_motor'!$E$586:$E$665='_motor'!$E$592))+1)/2)</f>
        <v/>
      </c>
      <c r="H12" s="22">
        <f>IF('_motor'!$B$592=0,"",SUMPRODUCT('_motor'!$B$586:$B$665*('_motor'!$F$586:$F$665&gt;'_motor'!$F$592))+(SUMPRODUCT('_motor'!$B$586:$B$665*('_motor'!$F$586:$F$665='_motor'!$F$592))+1)/2)</f>
        <v/>
      </c>
      <c r="I12" s="19">
        <f>IF('_motor'!$B$592=0,"",IF(AND(ABS('_motor'!$E$592-'_motor'!$B$669)&lt;='_motor'!$B$677+0.000000001,ABS('_motor'!$F$592-'_motor'!$B$669)&lt;='_motor'!$B$677+0.000000001),"5 · Pelotón (no concluyente)",IF(AND('_motor'!$E$592&gt;='_motor'!$B$669,'_motor'!$F$592&lt;'_motor'!$B$669),"1 · Entrada / determinante",IF(AND('_motor'!$E$592&gt;='_motor'!$B$669,'_motor'!$F$592&gt;='_motor'!$B$669),"2 · Intermedia / de enlace",IF(AND('_motor'!$E$592&lt;'_motor'!$B$669,'_motor'!$F$592&gt;='_motor'!$B$669),"3 · Resultado","4 · Excluida / autónoma")))))</f>
        <v/>
      </c>
      <c r="J12" s="19">
        <f>IF('_motor'!$B$592=0,"",IF(AND(ABS('_motor'!$E$592-'_motor'!$B$669)&lt;='_motor'!$B$677+0.000000001,ABS('_motor'!$F$592-'_motor'!$B$669)&lt;='_motor'!$B$677+0.000000001),"Reguladora",IF(AND('_motor'!$E$592&gt;='_motor'!$B$669,'_motor'!$F$592&lt;0.5*'_motor'!$B$669),"Determinante / entorno",IF(AND('_motor'!$E$592&gt;='_motor'!$B$669,'_motor'!$F$592&lt;'_motor'!$B$669),"Palanca secundaria",IF(AND('_motor'!$E$592&gt;='_motor'!$B$669,'_motor'!$F$592&gt;='_motor'!$B$669),"Clave / de enlace",IF(AND('_motor'!$F$592&gt;='_motor'!$B$669,'_motor'!$E$592&gt;=0.5*'_motor'!$B$669),"Objetivo",IF('_motor'!$F$592&gt;='_motor'!$B$669,"Resultado","Autónoma")))))))</f>
        <v/>
      </c>
      <c r="K12" s="19">
        <f>IF('_motor'!$B$592=0,"",'_motor'!$M$592-'_motor'!$O$592)</f>
        <v/>
      </c>
      <c r="L12" s="19">
        <f>IF('_motor'!$B$592=0,"",IF('_motor'!$O$592&lt;'_motor'!$M$592-2,"▲ VARIABLE OCULTA (sube "&amp;TEXT('_motor'!$M$592-'_motor'!$O$592,"0")&amp;" puestos)",IF('_motor'!$O$592&gt;'_motor'!$M$592+2,"▼ Sobrevalorada en directo (baja "&amp;TEXT('_motor'!$O$592-'_motor'!$M$592,"0")&amp;")","= Estable")))</f>
        <v/>
      </c>
    </row>
    <row r="13" spans="1:12" x14ac:dyDescent="0.2">
      <c r="A13" s="21">
        <f>IF('_motor'!$B$593=0,"",'02 · Variables'!$B$14)</f>
        <v/>
      </c>
      <c r="B13" s="19">
        <f>IF('_motor'!$B$593=0,"",'02 · Variables'!$C$14)</f>
        <v/>
      </c>
      <c r="C13" s="38">
        <f>IF('_motor'!$B$593=0,"",'_motor'!$E$593)</f>
        <v/>
      </c>
      <c r="D13" s="38">
        <f>IF('_motor'!$B$593=0,"",'_motor'!$F$593)</f>
        <v/>
      </c>
      <c r="E13" s="33">
        <f>IF(OR('_motor'!$B$593=0,'_motor'!$B$673=0),"",'_motor'!$E$593/'_motor'!$B$673)</f>
        <v/>
      </c>
      <c r="F13" s="33">
        <f>IF(OR('_motor'!$B$593=0,'_motor'!$B$673=0),"",'_motor'!$F$593/'_motor'!$B$673)</f>
        <v/>
      </c>
      <c r="G13" s="22">
        <f>IF('_motor'!$B$593=0,"",SUMPRODUCT('_motor'!$B$586:$B$665*('_motor'!$E$586:$E$665&gt;'_motor'!$E$593))+(SUMPRODUCT('_motor'!$B$586:$B$665*('_motor'!$E$586:$E$665='_motor'!$E$593))+1)/2)</f>
        <v/>
      </c>
      <c r="H13" s="22">
        <f>IF('_motor'!$B$593=0,"",SUMPRODUCT('_motor'!$B$586:$B$665*('_motor'!$F$586:$F$665&gt;'_motor'!$F$593))+(SUMPRODUCT('_motor'!$B$586:$B$665*('_motor'!$F$586:$F$665='_motor'!$F$593))+1)/2)</f>
        <v/>
      </c>
      <c r="I13" s="19">
        <f>IF('_motor'!$B$593=0,"",IF(AND(ABS('_motor'!$E$593-'_motor'!$B$669)&lt;='_motor'!$B$677+0.000000001,ABS('_motor'!$F$593-'_motor'!$B$669)&lt;='_motor'!$B$677+0.000000001),"5 · Pelotón (no concluyente)",IF(AND('_motor'!$E$593&gt;='_motor'!$B$669,'_motor'!$F$593&lt;'_motor'!$B$669),"1 · Entrada / determinante",IF(AND('_motor'!$E$593&gt;='_motor'!$B$669,'_motor'!$F$593&gt;='_motor'!$B$669),"2 · Intermedia / de enlace",IF(AND('_motor'!$E$593&lt;'_motor'!$B$669,'_motor'!$F$593&gt;='_motor'!$B$669),"3 · Resultado","4 · Excluida / autónoma")))))</f>
        <v/>
      </c>
      <c r="J13" s="19">
        <f>IF('_motor'!$B$593=0,"",IF(AND(ABS('_motor'!$E$593-'_motor'!$B$669)&lt;='_motor'!$B$677+0.000000001,ABS('_motor'!$F$593-'_motor'!$B$669)&lt;='_motor'!$B$677+0.000000001),"Reguladora",IF(AND('_motor'!$E$593&gt;='_motor'!$B$669,'_motor'!$F$593&lt;0.5*'_motor'!$B$669),"Determinante / entorno",IF(AND('_motor'!$E$593&gt;='_motor'!$B$669,'_motor'!$F$593&lt;'_motor'!$B$669),"Palanca secundaria",IF(AND('_motor'!$E$593&gt;='_motor'!$B$669,'_motor'!$F$593&gt;='_motor'!$B$669),"Clave / de enlace",IF(AND('_motor'!$F$593&gt;='_motor'!$B$669,'_motor'!$E$593&gt;=0.5*'_motor'!$B$669),"Objetivo",IF('_motor'!$F$593&gt;='_motor'!$B$669,"Resultado","Autónoma")))))))</f>
        <v/>
      </c>
      <c r="K13" s="19">
        <f>IF('_motor'!$B$593=0,"",'_motor'!$M$593-'_motor'!$O$593)</f>
        <v/>
      </c>
      <c r="L13" s="19">
        <f>IF('_motor'!$B$593=0,"",IF('_motor'!$O$593&lt;'_motor'!$M$593-2,"▲ VARIABLE OCULTA (sube "&amp;TEXT('_motor'!$M$593-'_motor'!$O$593,"0")&amp;" puestos)",IF('_motor'!$O$593&gt;'_motor'!$M$593+2,"▼ Sobrevalorada en directo (baja "&amp;TEXT('_motor'!$O$593-'_motor'!$M$593,"0")&amp;")","= Estable")))</f>
        <v/>
      </c>
    </row>
    <row r="14" spans="1:12" x14ac:dyDescent="0.2">
      <c r="A14" s="21">
        <f>IF('_motor'!$B$594=0,"",'02 · Variables'!$B$15)</f>
        <v/>
      </c>
      <c r="B14" s="19">
        <f>IF('_motor'!$B$594=0,"",'02 · Variables'!$C$15)</f>
        <v/>
      </c>
      <c r="C14" s="38">
        <f>IF('_motor'!$B$594=0,"",'_motor'!$E$594)</f>
        <v/>
      </c>
      <c r="D14" s="38">
        <f>IF('_motor'!$B$594=0,"",'_motor'!$F$594)</f>
        <v/>
      </c>
      <c r="E14" s="33">
        <f>IF(OR('_motor'!$B$594=0,'_motor'!$B$673=0),"",'_motor'!$E$594/'_motor'!$B$673)</f>
        <v/>
      </c>
      <c r="F14" s="33">
        <f>IF(OR('_motor'!$B$594=0,'_motor'!$B$673=0),"",'_motor'!$F$594/'_motor'!$B$673)</f>
        <v/>
      </c>
      <c r="G14" s="22">
        <f>IF('_motor'!$B$594=0,"",SUMPRODUCT('_motor'!$B$586:$B$665*('_motor'!$E$586:$E$665&gt;'_motor'!$E$594))+(SUMPRODUCT('_motor'!$B$586:$B$665*('_motor'!$E$586:$E$665='_motor'!$E$594))+1)/2)</f>
        <v/>
      </c>
      <c r="H14" s="22">
        <f>IF('_motor'!$B$594=0,"",SUMPRODUCT('_motor'!$B$586:$B$665*('_motor'!$F$586:$F$665&gt;'_motor'!$F$594))+(SUMPRODUCT('_motor'!$B$586:$B$665*('_motor'!$F$586:$F$665='_motor'!$F$594))+1)/2)</f>
        <v/>
      </c>
      <c r="I14" s="19">
        <f>IF('_motor'!$B$594=0,"",IF(AND(ABS('_motor'!$E$594-'_motor'!$B$669)&lt;='_motor'!$B$677+0.000000001,ABS('_motor'!$F$594-'_motor'!$B$669)&lt;='_motor'!$B$677+0.000000001),"5 · Pelotón (no concluyente)",IF(AND('_motor'!$E$594&gt;='_motor'!$B$669,'_motor'!$F$594&lt;'_motor'!$B$669),"1 · Entrada / determinante",IF(AND('_motor'!$E$594&gt;='_motor'!$B$669,'_motor'!$F$594&gt;='_motor'!$B$669),"2 · Intermedia / de enlace",IF(AND('_motor'!$E$594&lt;'_motor'!$B$669,'_motor'!$F$594&gt;='_motor'!$B$669),"3 · Resultado","4 · Excluida / autónoma")))))</f>
        <v/>
      </c>
      <c r="J14" s="19">
        <f>IF('_motor'!$B$594=0,"",IF(AND(ABS('_motor'!$E$594-'_motor'!$B$669)&lt;='_motor'!$B$677+0.000000001,ABS('_motor'!$F$594-'_motor'!$B$669)&lt;='_motor'!$B$677+0.000000001),"Reguladora",IF(AND('_motor'!$E$594&gt;='_motor'!$B$669,'_motor'!$F$594&lt;0.5*'_motor'!$B$669),"Determinante / entorno",IF(AND('_motor'!$E$594&gt;='_motor'!$B$669,'_motor'!$F$594&lt;'_motor'!$B$669),"Palanca secundaria",IF(AND('_motor'!$E$594&gt;='_motor'!$B$669,'_motor'!$F$594&gt;='_motor'!$B$669),"Clave / de enlace",IF(AND('_motor'!$F$594&gt;='_motor'!$B$669,'_motor'!$E$594&gt;=0.5*'_motor'!$B$669),"Objetivo",IF('_motor'!$F$594&gt;='_motor'!$B$669,"Resultado","Autónoma")))))))</f>
        <v/>
      </c>
      <c r="K14" s="19">
        <f>IF('_motor'!$B$594=0,"",'_motor'!$M$594-'_motor'!$O$594)</f>
        <v/>
      </c>
      <c r="L14" s="19">
        <f>IF('_motor'!$B$594=0,"",IF('_motor'!$O$594&lt;'_motor'!$M$594-2,"▲ VARIABLE OCULTA (sube "&amp;TEXT('_motor'!$M$594-'_motor'!$O$594,"0")&amp;" puestos)",IF('_motor'!$O$594&gt;'_motor'!$M$594+2,"▼ Sobrevalorada en directo (baja "&amp;TEXT('_motor'!$O$594-'_motor'!$M$594,"0")&amp;")","= Estable")))</f>
        <v/>
      </c>
    </row>
    <row r="15" spans="1:12" x14ac:dyDescent="0.2">
      <c r="A15" s="21">
        <f>IF('_motor'!$B$595=0,"",'02 · Variables'!$B$16)</f>
        <v/>
      </c>
      <c r="B15" s="19">
        <f>IF('_motor'!$B$595=0,"",'02 · Variables'!$C$16)</f>
        <v/>
      </c>
      <c r="C15" s="38">
        <f>IF('_motor'!$B$595=0,"",'_motor'!$E$595)</f>
        <v/>
      </c>
      <c r="D15" s="38">
        <f>IF('_motor'!$B$595=0,"",'_motor'!$F$595)</f>
        <v/>
      </c>
      <c r="E15" s="33">
        <f>IF(OR('_motor'!$B$595=0,'_motor'!$B$673=0),"",'_motor'!$E$595/'_motor'!$B$673)</f>
        <v/>
      </c>
      <c r="F15" s="33">
        <f>IF(OR('_motor'!$B$595=0,'_motor'!$B$673=0),"",'_motor'!$F$595/'_motor'!$B$673)</f>
        <v/>
      </c>
      <c r="G15" s="22">
        <f>IF('_motor'!$B$595=0,"",SUMPRODUCT('_motor'!$B$586:$B$665*('_motor'!$E$586:$E$665&gt;'_motor'!$E$595))+(SUMPRODUCT('_motor'!$B$586:$B$665*('_motor'!$E$586:$E$665='_motor'!$E$595))+1)/2)</f>
        <v/>
      </c>
      <c r="H15" s="22">
        <f>IF('_motor'!$B$595=0,"",SUMPRODUCT('_motor'!$B$586:$B$665*('_motor'!$F$586:$F$665&gt;'_motor'!$F$595))+(SUMPRODUCT('_motor'!$B$586:$B$665*('_motor'!$F$586:$F$665='_motor'!$F$595))+1)/2)</f>
        <v/>
      </c>
      <c r="I15" s="19">
        <f>IF('_motor'!$B$595=0,"",IF(AND(ABS('_motor'!$E$595-'_motor'!$B$669)&lt;='_motor'!$B$677+0.000000001,ABS('_motor'!$F$595-'_motor'!$B$669)&lt;='_motor'!$B$677+0.000000001),"5 · Pelotón (no concluyente)",IF(AND('_motor'!$E$595&gt;='_motor'!$B$669,'_motor'!$F$595&lt;'_motor'!$B$669),"1 · Entrada / determinante",IF(AND('_motor'!$E$595&gt;='_motor'!$B$669,'_motor'!$F$595&gt;='_motor'!$B$669),"2 · Intermedia / de enlace",IF(AND('_motor'!$E$595&lt;'_motor'!$B$669,'_motor'!$F$595&gt;='_motor'!$B$669),"3 · Resultado","4 · Excluida / autónoma")))))</f>
        <v/>
      </c>
      <c r="J15" s="19">
        <f>IF('_motor'!$B$595=0,"",IF(AND(ABS('_motor'!$E$595-'_motor'!$B$669)&lt;='_motor'!$B$677+0.000000001,ABS('_motor'!$F$595-'_motor'!$B$669)&lt;='_motor'!$B$677+0.000000001),"Reguladora",IF(AND('_motor'!$E$595&gt;='_motor'!$B$669,'_motor'!$F$595&lt;0.5*'_motor'!$B$669),"Determinante / entorno",IF(AND('_motor'!$E$595&gt;='_motor'!$B$669,'_motor'!$F$595&lt;'_motor'!$B$669),"Palanca secundaria",IF(AND('_motor'!$E$595&gt;='_motor'!$B$669,'_motor'!$F$595&gt;='_motor'!$B$669),"Clave / de enlace",IF(AND('_motor'!$F$595&gt;='_motor'!$B$669,'_motor'!$E$595&gt;=0.5*'_motor'!$B$669),"Objetivo",IF('_motor'!$F$595&gt;='_motor'!$B$669,"Resultado","Autónoma")))))))</f>
        <v/>
      </c>
      <c r="K15" s="19">
        <f>IF('_motor'!$B$595=0,"",'_motor'!$M$595-'_motor'!$O$595)</f>
        <v/>
      </c>
      <c r="L15" s="19">
        <f>IF('_motor'!$B$595=0,"",IF('_motor'!$O$595&lt;'_motor'!$M$595-2,"▲ VARIABLE OCULTA (sube "&amp;TEXT('_motor'!$M$595-'_motor'!$O$595,"0")&amp;" puestos)",IF('_motor'!$O$595&gt;'_motor'!$M$595+2,"▼ Sobrevalorada en directo (baja "&amp;TEXT('_motor'!$O$595-'_motor'!$M$595,"0")&amp;")","= Estable")))</f>
        <v/>
      </c>
    </row>
    <row r="16" spans="1:12" x14ac:dyDescent="0.2">
      <c r="A16" s="21">
        <f>IF('_motor'!$B$596=0,"",'02 · Variables'!$B$17)</f>
        <v/>
      </c>
      <c r="B16" s="19">
        <f>IF('_motor'!$B$596=0,"",'02 · Variables'!$C$17)</f>
        <v/>
      </c>
      <c r="C16" s="38">
        <f>IF('_motor'!$B$596=0,"",'_motor'!$E$596)</f>
        <v/>
      </c>
      <c r="D16" s="38">
        <f>IF('_motor'!$B$596=0,"",'_motor'!$F$596)</f>
        <v/>
      </c>
      <c r="E16" s="33">
        <f>IF(OR('_motor'!$B$596=0,'_motor'!$B$673=0),"",'_motor'!$E$596/'_motor'!$B$673)</f>
        <v/>
      </c>
      <c r="F16" s="33">
        <f>IF(OR('_motor'!$B$596=0,'_motor'!$B$673=0),"",'_motor'!$F$596/'_motor'!$B$673)</f>
        <v/>
      </c>
      <c r="G16" s="22">
        <f>IF('_motor'!$B$596=0,"",SUMPRODUCT('_motor'!$B$586:$B$665*('_motor'!$E$586:$E$665&gt;'_motor'!$E$596))+(SUMPRODUCT('_motor'!$B$586:$B$665*('_motor'!$E$586:$E$665='_motor'!$E$596))+1)/2)</f>
        <v/>
      </c>
      <c r="H16" s="22">
        <f>IF('_motor'!$B$596=0,"",SUMPRODUCT('_motor'!$B$586:$B$665*('_motor'!$F$586:$F$665&gt;'_motor'!$F$596))+(SUMPRODUCT('_motor'!$B$586:$B$665*('_motor'!$F$586:$F$665='_motor'!$F$596))+1)/2)</f>
        <v/>
      </c>
      <c r="I16" s="19">
        <f>IF('_motor'!$B$596=0,"",IF(AND(ABS('_motor'!$E$596-'_motor'!$B$669)&lt;='_motor'!$B$677+0.000000001,ABS('_motor'!$F$596-'_motor'!$B$669)&lt;='_motor'!$B$677+0.000000001),"5 · Pelotón (no concluyente)",IF(AND('_motor'!$E$596&gt;='_motor'!$B$669,'_motor'!$F$596&lt;'_motor'!$B$669),"1 · Entrada / determinante",IF(AND('_motor'!$E$596&gt;='_motor'!$B$669,'_motor'!$F$596&gt;='_motor'!$B$669),"2 · Intermedia / de enlace",IF(AND('_motor'!$E$596&lt;'_motor'!$B$669,'_motor'!$F$596&gt;='_motor'!$B$669),"3 · Resultado","4 · Excluida / autónoma")))))</f>
        <v/>
      </c>
      <c r="J16" s="19">
        <f>IF('_motor'!$B$596=0,"",IF(AND(ABS('_motor'!$E$596-'_motor'!$B$669)&lt;='_motor'!$B$677+0.000000001,ABS('_motor'!$F$596-'_motor'!$B$669)&lt;='_motor'!$B$677+0.000000001),"Reguladora",IF(AND('_motor'!$E$596&gt;='_motor'!$B$669,'_motor'!$F$596&lt;0.5*'_motor'!$B$669),"Determinante / entorno",IF(AND('_motor'!$E$596&gt;='_motor'!$B$669,'_motor'!$F$596&lt;'_motor'!$B$669),"Palanca secundaria",IF(AND('_motor'!$E$596&gt;='_motor'!$B$669,'_motor'!$F$596&gt;='_motor'!$B$669),"Clave / de enlace",IF(AND('_motor'!$F$596&gt;='_motor'!$B$669,'_motor'!$E$596&gt;=0.5*'_motor'!$B$669),"Objetivo",IF('_motor'!$F$596&gt;='_motor'!$B$669,"Resultado","Autónoma")))))))</f>
        <v/>
      </c>
      <c r="K16" s="19">
        <f>IF('_motor'!$B$596=0,"",'_motor'!$M$596-'_motor'!$O$596)</f>
        <v/>
      </c>
      <c r="L16" s="19">
        <f>IF('_motor'!$B$596=0,"",IF('_motor'!$O$596&lt;'_motor'!$M$596-2,"▲ VARIABLE OCULTA (sube "&amp;TEXT('_motor'!$M$596-'_motor'!$O$596,"0")&amp;" puestos)",IF('_motor'!$O$596&gt;'_motor'!$M$596+2,"▼ Sobrevalorada en directo (baja "&amp;TEXT('_motor'!$O$596-'_motor'!$M$596,"0")&amp;")","= Estable")))</f>
        <v/>
      </c>
    </row>
    <row r="17" spans="1:12" x14ac:dyDescent="0.2">
      <c r="A17" s="21">
        <f>IF('_motor'!$B$597=0,"",'02 · Variables'!$B$18)</f>
        <v/>
      </c>
      <c r="B17" s="19">
        <f>IF('_motor'!$B$597=0,"",'02 · Variables'!$C$18)</f>
        <v/>
      </c>
      <c r="C17" s="38">
        <f>IF('_motor'!$B$597=0,"",'_motor'!$E$597)</f>
        <v/>
      </c>
      <c r="D17" s="38">
        <f>IF('_motor'!$B$597=0,"",'_motor'!$F$597)</f>
        <v/>
      </c>
      <c r="E17" s="33">
        <f>IF(OR('_motor'!$B$597=0,'_motor'!$B$673=0),"",'_motor'!$E$597/'_motor'!$B$673)</f>
        <v/>
      </c>
      <c r="F17" s="33">
        <f>IF(OR('_motor'!$B$597=0,'_motor'!$B$673=0),"",'_motor'!$F$597/'_motor'!$B$673)</f>
        <v/>
      </c>
      <c r="G17" s="22">
        <f>IF('_motor'!$B$597=0,"",SUMPRODUCT('_motor'!$B$586:$B$665*('_motor'!$E$586:$E$665&gt;'_motor'!$E$597))+(SUMPRODUCT('_motor'!$B$586:$B$665*('_motor'!$E$586:$E$665='_motor'!$E$597))+1)/2)</f>
        <v/>
      </c>
      <c r="H17" s="22">
        <f>IF('_motor'!$B$597=0,"",SUMPRODUCT('_motor'!$B$586:$B$665*('_motor'!$F$586:$F$665&gt;'_motor'!$F$597))+(SUMPRODUCT('_motor'!$B$586:$B$665*('_motor'!$F$586:$F$665='_motor'!$F$597))+1)/2)</f>
        <v/>
      </c>
      <c r="I17" s="19">
        <f>IF('_motor'!$B$597=0,"",IF(AND(ABS('_motor'!$E$597-'_motor'!$B$669)&lt;='_motor'!$B$677+0.000000001,ABS('_motor'!$F$597-'_motor'!$B$669)&lt;='_motor'!$B$677+0.000000001),"5 · Pelotón (no concluyente)",IF(AND('_motor'!$E$597&gt;='_motor'!$B$669,'_motor'!$F$597&lt;'_motor'!$B$669),"1 · Entrada / determinante",IF(AND('_motor'!$E$597&gt;='_motor'!$B$669,'_motor'!$F$597&gt;='_motor'!$B$669),"2 · Intermedia / de enlace",IF(AND('_motor'!$E$597&lt;'_motor'!$B$669,'_motor'!$F$597&gt;='_motor'!$B$669),"3 · Resultado","4 · Excluida / autónoma")))))</f>
        <v/>
      </c>
      <c r="J17" s="19">
        <f>IF('_motor'!$B$597=0,"",IF(AND(ABS('_motor'!$E$597-'_motor'!$B$669)&lt;='_motor'!$B$677+0.000000001,ABS('_motor'!$F$597-'_motor'!$B$669)&lt;='_motor'!$B$677+0.000000001),"Reguladora",IF(AND('_motor'!$E$597&gt;='_motor'!$B$669,'_motor'!$F$597&lt;0.5*'_motor'!$B$669),"Determinante / entorno",IF(AND('_motor'!$E$597&gt;='_motor'!$B$669,'_motor'!$F$597&lt;'_motor'!$B$669),"Palanca secundaria",IF(AND('_motor'!$E$597&gt;='_motor'!$B$669,'_motor'!$F$597&gt;='_motor'!$B$669),"Clave / de enlace",IF(AND('_motor'!$F$597&gt;='_motor'!$B$669,'_motor'!$E$597&gt;=0.5*'_motor'!$B$669),"Objetivo",IF('_motor'!$F$597&gt;='_motor'!$B$669,"Resultado","Autónoma")))))))</f>
        <v/>
      </c>
      <c r="K17" s="19">
        <f>IF('_motor'!$B$597=0,"",'_motor'!$M$597-'_motor'!$O$597)</f>
        <v/>
      </c>
      <c r="L17" s="19">
        <f>IF('_motor'!$B$597=0,"",IF('_motor'!$O$597&lt;'_motor'!$M$597-2,"▲ VARIABLE OCULTA (sube "&amp;TEXT('_motor'!$M$597-'_motor'!$O$597,"0")&amp;" puestos)",IF('_motor'!$O$597&gt;'_motor'!$M$597+2,"▼ Sobrevalorada en directo (baja "&amp;TEXT('_motor'!$O$597-'_motor'!$M$597,"0")&amp;")","= Estable")))</f>
        <v/>
      </c>
    </row>
    <row r="18" spans="1:12" x14ac:dyDescent="0.2">
      <c r="A18" s="21">
        <f>IF('_motor'!$B$598=0,"",'02 · Variables'!$B$19)</f>
        <v/>
      </c>
      <c r="B18" s="19">
        <f>IF('_motor'!$B$598=0,"",'02 · Variables'!$C$19)</f>
        <v/>
      </c>
      <c r="C18" s="38">
        <f>IF('_motor'!$B$598=0,"",'_motor'!$E$598)</f>
        <v/>
      </c>
      <c r="D18" s="38">
        <f>IF('_motor'!$B$598=0,"",'_motor'!$F$598)</f>
        <v/>
      </c>
      <c r="E18" s="33">
        <f>IF(OR('_motor'!$B$598=0,'_motor'!$B$673=0),"",'_motor'!$E$598/'_motor'!$B$673)</f>
        <v/>
      </c>
      <c r="F18" s="33">
        <f>IF(OR('_motor'!$B$598=0,'_motor'!$B$673=0),"",'_motor'!$F$598/'_motor'!$B$673)</f>
        <v/>
      </c>
      <c r="G18" s="22">
        <f>IF('_motor'!$B$598=0,"",SUMPRODUCT('_motor'!$B$586:$B$665*('_motor'!$E$586:$E$665&gt;'_motor'!$E$598))+(SUMPRODUCT('_motor'!$B$586:$B$665*('_motor'!$E$586:$E$665='_motor'!$E$598))+1)/2)</f>
        <v/>
      </c>
      <c r="H18" s="22">
        <f>IF('_motor'!$B$598=0,"",SUMPRODUCT('_motor'!$B$586:$B$665*('_motor'!$F$586:$F$665&gt;'_motor'!$F$598))+(SUMPRODUCT('_motor'!$B$586:$B$665*('_motor'!$F$586:$F$665='_motor'!$F$598))+1)/2)</f>
        <v/>
      </c>
      <c r="I18" s="19">
        <f>IF('_motor'!$B$598=0,"",IF(AND(ABS('_motor'!$E$598-'_motor'!$B$669)&lt;='_motor'!$B$677+0.000000001,ABS('_motor'!$F$598-'_motor'!$B$669)&lt;='_motor'!$B$677+0.000000001),"5 · Pelotón (no concluyente)",IF(AND('_motor'!$E$598&gt;='_motor'!$B$669,'_motor'!$F$598&lt;'_motor'!$B$669),"1 · Entrada / determinante",IF(AND('_motor'!$E$598&gt;='_motor'!$B$669,'_motor'!$F$598&gt;='_motor'!$B$669),"2 · Intermedia / de enlace",IF(AND('_motor'!$E$598&lt;'_motor'!$B$669,'_motor'!$F$598&gt;='_motor'!$B$669),"3 · Resultado","4 · Excluida / autónoma")))))</f>
        <v/>
      </c>
      <c r="J18" s="19">
        <f>IF('_motor'!$B$598=0,"",IF(AND(ABS('_motor'!$E$598-'_motor'!$B$669)&lt;='_motor'!$B$677+0.000000001,ABS('_motor'!$F$598-'_motor'!$B$669)&lt;='_motor'!$B$677+0.000000001),"Reguladora",IF(AND('_motor'!$E$598&gt;='_motor'!$B$669,'_motor'!$F$598&lt;0.5*'_motor'!$B$669),"Determinante / entorno",IF(AND('_motor'!$E$598&gt;='_motor'!$B$669,'_motor'!$F$598&lt;'_motor'!$B$669),"Palanca secundaria",IF(AND('_motor'!$E$598&gt;='_motor'!$B$669,'_motor'!$F$598&gt;='_motor'!$B$669),"Clave / de enlace",IF(AND('_motor'!$F$598&gt;='_motor'!$B$669,'_motor'!$E$598&gt;=0.5*'_motor'!$B$669),"Objetivo",IF('_motor'!$F$598&gt;='_motor'!$B$669,"Resultado","Autónoma")))))))</f>
        <v/>
      </c>
      <c r="K18" s="19">
        <f>IF('_motor'!$B$598=0,"",'_motor'!$M$598-'_motor'!$O$598)</f>
        <v/>
      </c>
      <c r="L18" s="19">
        <f>IF('_motor'!$B$598=0,"",IF('_motor'!$O$598&lt;'_motor'!$M$598-2,"▲ VARIABLE OCULTA (sube "&amp;TEXT('_motor'!$M$598-'_motor'!$O$598,"0")&amp;" puestos)",IF('_motor'!$O$598&gt;'_motor'!$M$598+2,"▼ Sobrevalorada en directo (baja "&amp;TEXT('_motor'!$O$598-'_motor'!$M$598,"0")&amp;")","= Estable")))</f>
        <v/>
      </c>
    </row>
    <row r="19" spans="1:12" x14ac:dyDescent="0.2">
      <c r="A19" s="21">
        <f>IF('_motor'!$B$599=0,"",'02 · Variables'!$B$20)</f>
        <v/>
      </c>
      <c r="B19" s="19">
        <f>IF('_motor'!$B$599=0,"",'02 · Variables'!$C$20)</f>
        <v/>
      </c>
      <c r="C19" s="38">
        <f>IF('_motor'!$B$599=0,"",'_motor'!$E$599)</f>
        <v/>
      </c>
      <c r="D19" s="38">
        <f>IF('_motor'!$B$599=0,"",'_motor'!$F$599)</f>
        <v/>
      </c>
      <c r="E19" s="33">
        <f>IF(OR('_motor'!$B$599=0,'_motor'!$B$673=0),"",'_motor'!$E$599/'_motor'!$B$673)</f>
        <v/>
      </c>
      <c r="F19" s="33">
        <f>IF(OR('_motor'!$B$599=0,'_motor'!$B$673=0),"",'_motor'!$F$599/'_motor'!$B$673)</f>
        <v/>
      </c>
      <c r="G19" s="22">
        <f>IF('_motor'!$B$599=0,"",SUMPRODUCT('_motor'!$B$586:$B$665*('_motor'!$E$586:$E$665&gt;'_motor'!$E$599))+(SUMPRODUCT('_motor'!$B$586:$B$665*('_motor'!$E$586:$E$665='_motor'!$E$599))+1)/2)</f>
        <v/>
      </c>
      <c r="H19" s="22">
        <f>IF('_motor'!$B$599=0,"",SUMPRODUCT('_motor'!$B$586:$B$665*('_motor'!$F$586:$F$665&gt;'_motor'!$F$599))+(SUMPRODUCT('_motor'!$B$586:$B$665*('_motor'!$F$586:$F$665='_motor'!$F$599))+1)/2)</f>
        <v/>
      </c>
      <c r="I19" s="19">
        <f>IF('_motor'!$B$599=0,"",IF(AND(ABS('_motor'!$E$599-'_motor'!$B$669)&lt;='_motor'!$B$677+0.000000001,ABS('_motor'!$F$599-'_motor'!$B$669)&lt;='_motor'!$B$677+0.000000001),"5 · Pelotón (no concluyente)",IF(AND('_motor'!$E$599&gt;='_motor'!$B$669,'_motor'!$F$599&lt;'_motor'!$B$669),"1 · Entrada / determinante",IF(AND('_motor'!$E$599&gt;='_motor'!$B$669,'_motor'!$F$599&gt;='_motor'!$B$669),"2 · Intermedia / de enlace",IF(AND('_motor'!$E$599&lt;'_motor'!$B$669,'_motor'!$F$599&gt;='_motor'!$B$669),"3 · Resultado","4 · Excluida / autónoma")))))</f>
        <v/>
      </c>
      <c r="J19" s="19">
        <f>IF('_motor'!$B$599=0,"",IF(AND(ABS('_motor'!$E$599-'_motor'!$B$669)&lt;='_motor'!$B$677+0.000000001,ABS('_motor'!$F$599-'_motor'!$B$669)&lt;='_motor'!$B$677+0.000000001),"Reguladora",IF(AND('_motor'!$E$599&gt;='_motor'!$B$669,'_motor'!$F$599&lt;0.5*'_motor'!$B$669),"Determinante / entorno",IF(AND('_motor'!$E$599&gt;='_motor'!$B$669,'_motor'!$F$599&lt;'_motor'!$B$669),"Palanca secundaria",IF(AND('_motor'!$E$599&gt;='_motor'!$B$669,'_motor'!$F$599&gt;='_motor'!$B$669),"Clave / de enlace",IF(AND('_motor'!$F$599&gt;='_motor'!$B$669,'_motor'!$E$599&gt;=0.5*'_motor'!$B$669),"Objetivo",IF('_motor'!$F$599&gt;='_motor'!$B$669,"Resultado","Autónoma")))))))</f>
        <v/>
      </c>
      <c r="K19" s="19">
        <f>IF('_motor'!$B$599=0,"",'_motor'!$M$599-'_motor'!$O$599)</f>
        <v/>
      </c>
      <c r="L19" s="19">
        <f>IF('_motor'!$B$599=0,"",IF('_motor'!$O$599&lt;'_motor'!$M$599-2,"▲ VARIABLE OCULTA (sube "&amp;TEXT('_motor'!$M$599-'_motor'!$O$599,"0")&amp;" puestos)",IF('_motor'!$O$599&gt;'_motor'!$M$599+2,"▼ Sobrevalorada en directo (baja "&amp;TEXT('_motor'!$O$599-'_motor'!$M$599,"0")&amp;")","= Estable")))</f>
        <v/>
      </c>
    </row>
    <row r="20" spans="1:12" x14ac:dyDescent="0.2">
      <c r="A20" s="21">
        <f>IF('_motor'!$B$600=0,"",'02 · Variables'!$B$21)</f>
        <v/>
      </c>
      <c r="B20" s="19">
        <f>IF('_motor'!$B$600=0,"",'02 · Variables'!$C$21)</f>
        <v/>
      </c>
      <c r="C20" s="38">
        <f>IF('_motor'!$B$600=0,"",'_motor'!$E$600)</f>
        <v/>
      </c>
      <c r="D20" s="38">
        <f>IF('_motor'!$B$600=0,"",'_motor'!$F$600)</f>
        <v/>
      </c>
      <c r="E20" s="33">
        <f>IF(OR('_motor'!$B$600=0,'_motor'!$B$673=0),"",'_motor'!$E$600/'_motor'!$B$673)</f>
        <v/>
      </c>
      <c r="F20" s="33">
        <f>IF(OR('_motor'!$B$600=0,'_motor'!$B$673=0),"",'_motor'!$F$600/'_motor'!$B$673)</f>
        <v/>
      </c>
      <c r="G20" s="22">
        <f>IF('_motor'!$B$600=0,"",SUMPRODUCT('_motor'!$B$586:$B$665*('_motor'!$E$586:$E$665&gt;'_motor'!$E$600))+(SUMPRODUCT('_motor'!$B$586:$B$665*('_motor'!$E$586:$E$665='_motor'!$E$600))+1)/2)</f>
        <v/>
      </c>
      <c r="H20" s="22">
        <f>IF('_motor'!$B$600=0,"",SUMPRODUCT('_motor'!$B$586:$B$665*('_motor'!$F$586:$F$665&gt;'_motor'!$F$600))+(SUMPRODUCT('_motor'!$B$586:$B$665*('_motor'!$F$586:$F$665='_motor'!$F$600))+1)/2)</f>
        <v/>
      </c>
      <c r="I20" s="19">
        <f>IF('_motor'!$B$600=0,"",IF(AND(ABS('_motor'!$E$600-'_motor'!$B$669)&lt;='_motor'!$B$677+0.000000001,ABS('_motor'!$F$600-'_motor'!$B$669)&lt;='_motor'!$B$677+0.000000001),"5 · Pelotón (no concluyente)",IF(AND('_motor'!$E$600&gt;='_motor'!$B$669,'_motor'!$F$600&lt;'_motor'!$B$669),"1 · Entrada / determinante",IF(AND('_motor'!$E$600&gt;='_motor'!$B$669,'_motor'!$F$600&gt;='_motor'!$B$669),"2 · Intermedia / de enlace",IF(AND('_motor'!$E$600&lt;'_motor'!$B$669,'_motor'!$F$600&gt;='_motor'!$B$669),"3 · Resultado","4 · Excluida / autónoma")))))</f>
        <v/>
      </c>
      <c r="J20" s="19">
        <f>IF('_motor'!$B$600=0,"",IF(AND(ABS('_motor'!$E$600-'_motor'!$B$669)&lt;='_motor'!$B$677+0.000000001,ABS('_motor'!$F$600-'_motor'!$B$669)&lt;='_motor'!$B$677+0.000000001),"Reguladora",IF(AND('_motor'!$E$600&gt;='_motor'!$B$669,'_motor'!$F$600&lt;0.5*'_motor'!$B$669),"Determinante / entorno",IF(AND('_motor'!$E$600&gt;='_motor'!$B$669,'_motor'!$F$600&lt;'_motor'!$B$669),"Palanca secundaria",IF(AND('_motor'!$E$600&gt;='_motor'!$B$669,'_motor'!$F$600&gt;='_motor'!$B$669),"Clave / de enlace",IF(AND('_motor'!$F$600&gt;='_motor'!$B$669,'_motor'!$E$600&gt;=0.5*'_motor'!$B$669),"Objetivo",IF('_motor'!$F$600&gt;='_motor'!$B$669,"Resultado","Autónoma")))))))</f>
        <v/>
      </c>
      <c r="K20" s="19">
        <f>IF('_motor'!$B$600=0,"",'_motor'!$M$600-'_motor'!$O$600)</f>
        <v/>
      </c>
      <c r="L20" s="19">
        <f>IF('_motor'!$B$600=0,"",IF('_motor'!$O$600&lt;'_motor'!$M$600-2,"▲ VARIABLE OCULTA (sube "&amp;TEXT('_motor'!$M$600-'_motor'!$O$600,"0")&amp;" puestos)",IF('_motor'!$O$600&gt;'_motor'!$M$600+2,"▼ Sobrevalorada en directo (baja "&amp;TEXT('_motor'!$O$600-'_motor'!$M$600,"0")&amp;")","= Estable")))</f>
        <v/>
      </c>
    </row>
    <row r="21" spans="1:12" x14ac:dyDescent="0.2">
      <c r="A21" s="21">
        <f>IF('_motor'!$B$601=0,"",'02 · Variables'!$B$22)</f>
        <v/>
      </c>
      <c r="B21" s="19">
        <f>IF('_motor'!$B$601=0,"",'02 · Variables'!$C$22)</f>
        <v/>
      </c>
      <c r="C21" s="38">
        <f>IF('_motor'!$B$601=0,"",'_motor'!$E$601)</f>
        <v/>
      </c>
      <c r="D21" s="38">
        <f>IF('_motor'!$B$601=0,"",'_motor'!$F$601)</f>
        <v/>
      </c>
      <c r="E21" s="33">
        <f>IF(OR('_motor'!$B$601=0,'_motor'!$B$673=0),"",'_motor'!$E$601/'_motor'!$B$673)</f>
        <v/>
      </c>
      <c r="F21" s="33">
        <f>IF(OR('_motor'!$B$601=0,'_motor'!$B$673=0),"",'_motor'!$F$601/'_motor'!$B$673)</f>
        <v/>
      </c>
      <c r="G21" s="22">
        <f>IF('_motor'!$B$601=0,"",SUMPRODUCT('_motor'!$B$586:$B$665*('_motor'!$E$586:$E$665&gt;'_motor'!$E$601))+(SUMPRODUCT('_motor'!$B$586:$B$665*('_motor'!$E$586:$E$665='_motor'!$E$601))+1)/2)</f>
        <v/>
      </c>
      <c r="H21" s="22">
        <f>IF('_motor'!$B$601=0,"",SUMPRODUCT('_motor'!$B$586:$B$665*('_motor'!$F$586:$F$665&gt;'_motor'!$F$601))+(SUMPRODUCT('_motor'!$B$586:$B$665*('_motor'!$F$586:$F$665='_motor'!$F$601))+1)/2)</f>
        <v/>
      </c>
      <c r="I21" s="19">
        <f>IF('_motor'!$B$601=0,"",IF(AND(ABS('_motor'!$E$601-'_motor'!$B$669)&lt;='_motor'!$B$677+0.000000001,ABS('_motor'!$F$601-'_motor'!$B$669)&lt;='_motor'!$B$677+0.000000001),"5 · Pelotón (no concluyente)",IF(AND('_motor'!$E$601&gt;='_motor'!$B$669,'_motor'!$F$601&lt;'_motor'!$B$669),"1 · Entrada / determinante",IF(AND('_motor'!$E$601&gt;='_motor'!$B$669,'_motor'!$F$601&gt;='_motor'!$B$669),"2 · Intermedia / de enlace",IF(AND('_motor'!$E$601&lt;'_motor'!$B$669,'_motor'!$F$601&gt;='_motor'!$B$669),"3 · Resultado","4 · Excluida / autónoma")))))</f>
        <v/>
      </c>
      <c r="J21" s="19">
        <f>IF('_motor'!$B$601=0,"",IF(AND(ABS('_motor'!$E$601-'_motor'!$B$669)&lt;='_motor'!$B$677+0.000000001,ABS('_motor'!$F$601-'_motor'!$B$669)&lt;='_motor'!$B$677+0.000000001),"Reguladora",IF(AND('_motor'!$E$601&gt;='_motor'!$B$669,'_motor'!$F$601&lt;0.5*'_motor'!$B$669),"Determinante / entorno",IF(AND('_motor'!$E$601&gt;='_motor'!$B$669,'_motor'!$F$601&lt;'_motor'!$B$669),"Palanca secundaria",IF(AND('_motor'!$E$601&gt;='_motor'!$B$669,'_motor'!$F$601&gt;='_motor'!$B$669),"Clave / de enlace",IF(AND('_motor'!$F$601&gt;='_motor'!$B$669,'_motor'!$E$601&gt;=0.5*'_motor'!$B$669),"Objetivo",IF('_motor'!$F$601&gt;='_motor'!$B$669,"Resultado","Autónoma")))))))</f>
        <v/>
      </c>
      <c r="K21" s="19">
        <f>IF('_motor'!$B$601=0,"",'_motor'!$M$601-'_motor'!$O$601)</f>
        <v/>
      </c>
      <c r="L21" s="19">
        <f>IF('_motor'!$B$601=0,"",IF('_motor'!$O$601&lt;'_motor'!$M$601-2,"▲ VARIABLE OCULTA (sube "&amp;TEXT('_motor'!$M$601-'_motor'!$O$601,"0")&amp;" puestos)",IF('_motor'!$O$601&gt;'_motor'!$M$601+2,"▼ Sobrevalorada en directo (baja "&amp;TEXT('_motor'!$O$601-'_motor'!$M$601,"0")&amp;")","= Estable")))</f>
        <v/>
      </c>
    </row>
    <row r="22" spans="1:12" x14ac:dyDescent="0.2">
      <c r="A22" s="21">
        <f>IF('_motor'!$B$602=0,"",'02 · Variables'!$B$23)</f>
        <v/>
      </c>
      <c r="B22" s="19">
        <f>IF('_motor'!$B$602=0,"",'02 · Variables'!$C$23)</f>
        <v/>
      </c>
      <c r="C22" s="38">
        <f>IF('_motor'!$B$602=0,"",'_motor'!$E$602)</f>
        <v/>
      </c>
      <c r="D22" s="38">
        <f>IF('_motor'!$B$602=0,"",'_motor'!$F$602)</f>
        <v/>
      </c>
      <c r="E22" s="33">
        <f>IF(OR('_motor'!$B$602=0,'_motor'!$B$673=0),"",'_motor'!$E$602/'_motor'!$B$673)</f>
        <v/>
      </c>
      <c r="F22" s="33">
        <f>IF(OR('_motor'!$B$602=0,'_motor'!$B$673=0),"",'_motor'!$F$602/'_motor'!$B$673)</f>
        <v/>
      </c>
      <c r="G22" s="22">
        <f>IF('_motor'!$B$602=0,"",SUMPRODUCT('_motor'!$B$586:$B$665*('_motor'!$E$586:$E$665&gt;'_motor'!$E$602))+(SUMPRODUCT('_motor'!$B$586:$B$665*('_motor'!$E$586:$E$665='_motor'!$E$602))+1)/2)</f>
        <v/>
      </c>
      <c r="H22" s="22">
        <f>IF('_motor'!$B$602=0,"",SUMPRODUCT('_motor'!$B$586:$B$665*('_motor'!$F$586:$F$665&gt;'_motor'!$F$602))+(SUMPRODUCT('_motor'!$B$586:$B$665*('_motor'!$F$586:$F$665='_motor'!$F$602))+1)/2)</f>
        <v/>
      </c>
      <c r="I22" s="19">
        <f>IF('_motor'!$B$602=0,"",IF(AND(ABS('_motor'!$E$602-'_motor'!$B$669)&lt;='_motor'!$B$677+0.000000001,ABS('_motor'!$F$602-'_motor'!$B$669)&lt;='_motor'!$B$677+0.000000001),"5 · Pelotón (no concluyente)",IF(AND('_motor'!$E$602&gt;='_motor'!$B$669,'_motor'!$F$602&lt;'_motor'!$B$669),"1 · Entrada / determinante",IF(AND('_motor'!$E$602&gt;='_motor'!$B$669,'_motor'!$F$602&gt;='_motor'!$B$669),"2 · Intermedia / de enlace",IF(AND('_motor'!$E$602&lt;'_motor'!$B$669,'_motor'!$F$602&gt;='_motor'!$B$669),"3 · Resultado","4 · Excluida / autónoma")))))</f>
        <v/>
      </c>
      <c r="J22" s="19">
        <f>IF('_motor'!$B$602=0,"",IF(AND(ABS('_motor'!$E$602-'_motor'!$B$669)&lt;='_motor'!$B$677+0.000000001,ABS('_motor'!$F$602-'_motor'!$B$669)&lt;='_motor'!$B$677+0.000000001),"Reguladora",IF(AND('_motor'!$E$602&gt;='_motor'!$B$669,'_motor'!$F$602&lt;0.5*'_motor'!$B$669),"Determinante / entorno",IF(AND('_motor'!$E$602&gt;='_motor'!$B$669,'_motor'!$F$602&lt;'_motor'!$B$669),"Palanca secundaria",IF(AND('_motor'!$E$602&gt;='_motor'!$B$669,'_motor'!$F$602&gt;='_motor'!$B$669),"Clave / de enlace",IF(AND('_motor'!$F$602&gt;='_motor'!$B$669,'_motor'!$E$602&gt;=0.5*'_motor'!$B$669),"Objetivo",IF('_motor'!$F$602&gt;='_motor'!$B$669,"Resultado","Autónoma")))))))</f>
        <v/>
      </c>
      <c r="K22" s="19">
        <f>IF('_motor'!$B$602=0,"",'_motor'!$M$602-'_motor'!$O$602)</f>
        <v/>
      </c>
      <c r="L22" s="19">
        <f>IF('_motor'!$B$602=0,"",IF('_motor'!$O$602&lt;'_motor'!$M$602-2,"▲ VARIABLE OCULTA (sube "&amp;TEXT('_motor'!$M$602-'_motor'!$O$602,"0")&amp;" puestos)",IF('_motor'!$O$602&gt;'_motor'!$M$602+2,"▼ Sobrevalorada en directo (baja "&amp;TEXT('_motor'!$O$602-'_motor'!$M$602,"0")&amp;")","= Estable")))</f>
        <v/>
      </c>
    </row>
    <row r="23" spans="1:12" x14ac:dyDescent="0.2">
      <c r="A23" s="21">
        <f>IF('_motor'!$B$603=0,"",'02 · Variables'!$B$24)</f>
        <v/>
      </c>
      <c r="B23" s="19">
        <f>IF('_motor'!$B$603=0,"",'02 · Variables'!$C$24)</f>
        <v/>
      </c>
      <c r="C23" s="38">
        <f>IF('_motor'!$B$603=0,"",'_motor'!$E$603)</f>
        <v/>
      </c>
      <c r="D23" s="38">
        <f>IF('_motor'!$B$603=0,"",'_motor'!$F$603)</f>
        <v/>
      </c>
      <c r="E23" s="33">
        <f>IF(OR('_motor'!$B$603=0,'_motor'!$B$673=0),"",'_motor'!$E$603/'_motor'!$B$673)</f>
        <v/>
      </c>
      <c r="F23" s="33">
        <f>IF(OR('_motor'!$B$603=0,'_motor'!$B$673=0),"",'_motor'!$F$603/'_motor'!$B$673)</f>
        <v/>
      </c>
      <c r="G23" s="22">
        <f>IF('_motor'!$B$603=0,"",SUMPRODUCT('_motor'!$B$586:$B$665*('_motor'!$E$586:$E$665&gt;'_motor'!$E$603))+(SUMPRODUCT('_motor'!$B$586:$B$665*('_motor'!$E$586:$E$665='_motor'!$E$603))+1)/2)</f>
        <v/>
      </c>
      <c r="H23" s="22">
        <f>IF('_motor'!$B$603=0,"",SUMPRODUCT('_motor'!$B$586:$B$665*('_motor'!$F$586:$F$665&gt;'_motor'!$F$603))+(SUMPRODUCT('_motor'!$B$586:$B$665*('_motor'!$F$586:$F$665='_motor'!$F$603))+1)/2)</f>
        <v/>
      </c>
      <c r="I23" s="19">
        <f>IF('_motor'!$B$603=0,"",IF(AND(ABS('_motor'!$E$603-'_motor'!$B$669)&lt;='_motor'!$B$677+0.000000001,ABS('_motor'!$F$603-'_motor'!$B$669)&lt;='_motor'!$B$677+0.000000001),"5 · Pelotón (no concluyente)",IF(AND('_motor'!$E$603&gt;='_motor'!$B$669,'_motor'!$F$603&lt;'_motor'!$B$669),"1 · Entrada / determinante",IF(AND('_motor'!$E$603&gt;='_motor'!$B$669,'_motor'!$F$603&gt;='_motor'!$B$669),"2 · Intermedia / de enlace",IF(AND('_motor'!$E$603&lt;'_motor'!$B$669,'_motor'!$F$603&gt;='_motor'!$B$669),"3 · Resultado","4 · Excluida / autónoma")))))</f>
        <v/>
      </c>
      <c r="J23" s="19">
        <f>IF('_motor'!$B$603=0,"",IF(AND(ABS('_motor'!$E$603-'_motor'!$B$669)&lt;='_motor'!$B$677+0.000000001,ABS('_motor'!$F$603-'_motor'!$B$669)&lt;='_motor'!$B$677+0.000000001),"Reguladora",IF(AND('_motor'!$E$603&gt;='_motor'!$B$669,'_motor'!$F$603&lt;0.5*'_motor'!$B$669),"Determinante / entorno",IF(AND('_motor'!$E$603&gt;='_motor'!$B$669,'_motor'!$F$603&lt;'_motor'!$B$669),"Palanca secundaria",IF(AND('_motor'!$E$603&gt;='_motor'!$B$669,'_motor'!$F$603&gt;='_motor'!$B$669),"Clave / de enlace",IF(AND('_motor'!$F$603&gt;='_motor'!$B$669,'_motor'!$E$603&gt;=0.5*'_motor'!$B$669),"Objetivo",IF('_motor'!$F$603&gt;='_motor'!$B$669,"Resultado","Autónoma")))))))</f>
        <v/>
      </c>
      <c r="K23" s="19">
        <f>IF('_motor'!$B$603=0,"",'_motor'!$M$603-'_motor'!$O$603)</f>
        <v/>
      </c>
      <c r="L23" s="19">
        <f>IF('_motor'!$B$603=0,"",IF('_motor'!$O$603&lt;'_motor'!$M$603-2,"▲ VARIABLE OCULTA (sube "&amp;TEXT('_motor'!$M$603-'_motor'!$O$603,"0")&amp;" puestos)",IF('_motor'!$O$603&gt;'_motor'!$M$603+2,"▼ Sobrevalorada en directo (baja "&amp;TEXT('_motor'!$O$603-'_motor'!$M$603,"0")&amp;")","= Estable")))</f>
        <v/>
      </c>
    </row>
    <row r="24" spans="1:12" x14ac:dyDescent="0.2">
      <c r="A24" s="21">
        <f>IF('_motor'!$B$604=0,"",'02 · Variables'!$B$25)</f>
        <v/>
      </c>
      <c r="B24" s="19">
        <f>IF('_motor'!$B$604=0,"",'02 · Variables'!$C$25)</f>
        <v/>
      </c>
      <c r="C24" s="38">
        <f>IF('_motor'!$B$604=0,"",'_motor'!$E$604)</f>
        <v/>
      </c>
      <c r="D24" s="38">
        <f>IF('_motor'!$B$604=0,"",'_motor'!$F$604)</f>
        <v/>
      </c>
      <c r="E24" s="33">
        <f>IF(OR('_motor'!$B$604=0,'_motor'!$B$673=0),"",'_motor'!$E$604/'_motor'!$B$673)</f>
        <v/>
      </c>
      <c r="F24" s="33">
        <f>IF(OR('_motor'!$B$604=0,'_motor'!$B$673=0),"",'_motor'!$F$604/'_motor'!$B$673)</f>
        <v/>
      </c>
      <c r="G24" s="22">
        <f>IF('_motor'!$B$604=0,"",SUMPRODUCT('_motor'!$B$586:$B$665*('_motor'!$E$586:$E$665&gt;'_motor'!$E$604))+(SUMPRODUCT('_motor'!$B$586:$B$665*('_motor'!$E$586:$E$665='_motor'!$E$604))+1)/2)</f>
        <v/>
      </c>
      <c r="H24" s="22">
        <f>IF('_motor'!$B$604=0,"",SUMPRODUCT('_motor'!$B$586:$B$665*('_motor'!$F$586:$F$665&gt;'_motor'!$F$604))+(SUMPRODUCT('_motor'!$B$586:$B$665*('_motor'!$F$586:$F$665='_motor'!$F$604))+1)/2)</f>
        <v/>
      </c>
      <c r="I24" s="19">
        <f>IF('_motor'!$B$604=0,"",IF(AND(ABS('_motor'!$E$604-'_motor'!$B$669)&lt;='_motor'!$B$677+0.000000001,ABS('_motor'!$F$604-'_motor'!$B$669)&lt;='_motor'!$B$677+0.000000001),"5 · Pelotón (no concluyente)",IF(AND('_motor'!$E$604&gt;='_motor'!$B$669,'_motor'!$F$604&lt;'_motor'!$B$669),"1 · Entrada / determinante",IF(AND('_motor'!$E$604&gt;='_motor'!$B$669,'_motor'!$F$604&gt;='_motor'!$B$669),"2 · Intermedia / de enlace",IF(AND('_motor'!$E$604&lt;'_motor'!$B$669,'_motor'!$F$604&gt;='_motor'!$B$669),"3 · Resultado","4 · Excluida / autónoma")))))</f>
        <v/>
      </c>
      <c r="J24" s="19">
        <f>IF('_motor'!$B$604=0,"",IF(AND(ABS('_motor'!$E$604-'_motor'!$B$669)&lt;='_motor'!$B$677+0.000000001,ABS('_motor'!$F$604-'_motor'!$B$669)&lt;='_motor'!$B$677+0.000000001),"Reguladora",IF(AND('_motor'!$E$604&gt;='_motor'!$B$669,'_motor'!$F$604&lt;0.5*'_motor'!$B$669),"Determinante / entorno",IF(AND('_motor'!$E$604&gt;='_motor'!$B$669,'_motor'!$F$604&lt;'_motor'!$B$669),"Palanca secundaria",IF(AND('_motor'!$E$604&gt;='_motor'!$B$669,'_motor'!$F$604&gt;='_motor'!$B$669),"Clave / de enlace",IF(AND('_motor'!$F$604&gt;='_motor'!$B$669,'_motor'!$E$604&gt;=0.5*'_motor'!$B$669),"Objetivo",IF('_motor'!$F$604&gt;='_motor'!$B$669,"Resultado","Autónoma")))))))</f>
        <v/>
      </c>
      <c r="K24" s="19">
        <f>IF('_motor'!$B$604=0,"",'_motor'!$M$604-'_motor'!$O$604)</f>
        <v/>
      </c>
      <c r="L24" s="19">
        <f>IF('_motor'!$B$604=0,"",IF('_motor'!$O$604&lt;'_motor'!$M$604-2,"▲ VARIABLE OCULTA (sube "&amp;TEXT('_motor'!$M$604-'_motor'!$O$604,"0")&amp;" puestos)",IF('_motor'!$O$604&gt;'_motor'!$M$604+2,"▼ Sobrevalorada en directo (baja "&amp;TEXT('_motor'!$O$604-'_motor'!$M$604,"0")&amp;")","= Estable")))</f>
        <v/>
      </c>
    </row>
    <row r="25" spans="1:12" x14ac:dyDescent="0.2">
      <c r="A25" s="21">
        <f>IF('_motor'!$B$605=0,"",'02 · Variables'!$B$26)</f>
        <v/>
      </c>
      <c r="B25" s="19">
        <f>IF('_motor'!$B$605=0,"",'02 · Variables'!$C$26)</f>
        <v/>
      </c>
      <c r="C25" s="38">
        <f>IF('_motor'!$B$605=0,"",'_motor'!$E$605)</f>
        <v/>
      </c>
      <c r="D25" s="38">
        <f>IF('_motor'!$B$605=0,"",'_motor'!$F$605)</f>
        <v/>
      </c>
      <c r="E25" s="33">
        <f>IF(OR('_motor'!$B$605=0,'_motor'!$B$673=0),"",'_motor'!$E$605/'_motor'!$B$673)</f>
        <v/>
      </c>
      <c r="F25" s="33">
        <f>IF(OR('_motor'!$B$605=0,'_motor'!$B$673=0),"",'_motor'!$F$605/'_motor'!$B$673)</f>
        <v/>
      </c>
      <c r="G25" s="22">
        <f>IF('_motor'!$B$605=0,"",SUMPRODUCT('_motor'!$B$586:$B$665*('_motor'!$E$586:$E$665&gt;'_motor'!$E$605))+(SUMPRODUCT('_motor'!$B$586:$B$665*('_motor'!$E$586:$E$665='_motor'!$E$605))+1)/2)</f>
        <v/>
      </c>
      <c r="H25" s="22">
        <f>IF('_motor'!$B$605=0,"",SUMPRODUCT('_motor'!$B$586:$B$665*('_motor'!$F$586:$F$665&gt;'_motor'!$F$605))+(SUMPRODUCT('_motor'!$B$586:$B$665*('_motor'!$F$586:$F$665='_motor'!$F$605))+1)/2)</f>
        <v/>
      </c>
      <c r="I25" s="19">
        <f>IF('_motor'!$B$605=0,"",IF(AND(ABS('_motor'!$E$605-'_motor'!$B$669)&lt;='_motor'!$B$677+0.000000001,ABS('_motor'!$F$605-'_motor'!$B$669)&lt;='_motor'!$B$677+0.000000001),"5 · Pelotón (no concluyente)",IF(AND('_motor'!$E$605&gt;='_motor'!$B$669,'_motor'!$F$605&lt;'_motor'!$B$669),"1 · Entrada / determinante",IF(AND('_motor'!$E$605&gt;='_motor'!$B$669,'_motor'!$F$605&gt;='_motor'!$B$669),"2 · Intermedia / de enlace",IF(AND('_motor'!$E$605&lt;'_motor'!$B$669,'_motor'!$F$605&gt;='_motor'!$B$669),"3 · Resultado","4 · Excluida / autónoma")))))</f>
        <v/>
      </c>
      <c r="J25" s="19">
        <f>IF('_motor'!$B$605=0,"",IF(AND(ABS('_motor'!$E$605-'_motor'!$B$669)&lt;='_motor'!$B$677+0.000000001,ABS('_motor'!$F$605-'_motor'!$B$669)&lt;='_motor'!$B$677+0.000000001),"Reguladora",IF(AND('_motor'!$E$605&gt;='_motor'!$B$669,'_motor'!$F$605&lt;0.5*'_motor'!$B$669),"Determinante / entorno",IF(AND('_motor'!$E$605&gt;='_motor'!$B$669,'_motor'!$F$605&lt;'_motor'!$B$669),"Palanca secundaria",IF(AND('_motor'!$E$605&gt;='_motor'!$B$669,'_motor'!$F$605&gt;='_motor'!$B$669),"Clave / de enlace",IF(AND('_motor'!$F$605&gt;='_motor'!$B$669,'_motor'!$E$605&gt;=0.5*'_motor'!$B$669),"Objetivo",IF('_motor'!$F$605&gt;='_motor'!$B$669,"Resultado","Autónoma")))))))</f>
        <v/>
      </c>
      <c r="K25" s="19">
        <f>IF('_motor'!$B$605=0,"",'_motor'!$M$605-'_motor'!$O$605)</f>
        <v/>
      </c>
      <c r="L25" s="19">
        <f>IF('_motor'!$B$605=0,"",IF('_motor'!$O$605&lt;'_motor'!$M$605-2,"▲ VARIABLE OCULTA (sube "&amp;TEXT('_motor'!$M$605-'_motor'!$O$605,"0")&amp;" puestos)",IF('_motor'!$O$605&gt;'_motor'!$M$605+2,"▼ Sobrevalorada en directo (baja "&amp;TEXT('_motor'!$O$605-'_motor'!$M$605,"0")&amp;")","= Estable")))</f>
        <v/>
      </c>
    </row>
    <row r="26" spans="1:12" x14ac:dyDescent="0.2">
      <c r="A26" s="21">
        <f>IF('_motor'!$B$606=0,"",'02 · Variables'!$B$27)</f>
        <v/>
      </c>
      <c r="B26" s="19">
        <f>IF('_motor'!$B$606=0,"",'02 · Variables'!$C$27)</f>
        <v/>
      </c>
      <c r="C26" s="38">
        <f>IF('_motor'!$B$606=0,"",'_motor'!$E$606)</f>
        <v/>
      </c>
      <c r="D26" s="38">
        <f>IF('_motor'!$B$606=0,"",'_motor'!$F$606)</f>
        <v/>
      </c>
      <c r="E26" s="33">
        <f>IF(OR('_motor'!$B$606=0,'_motor'!$B$673=0),"",'_motor'!$E$606/'_motor'!$B$673)</f>
        <v/>
      </c>
      <c r="F26" s="33">
        <f>IF(OR('_motor'!$B$606=0,'_motor'!$B$673=0),"",'_motor'!$F$606/'_motor'!$B$673)</f>
        <v/>
      </c>
      <c r="G26" s="22">
        <f>IF('_motor'!$B$606=0,"",SUMPRODUCT('_motor'!$B$586:$B$665*('_motor'!$E$586:$E$665&gt;'_motor'!$E$606))+(SUMPRODUCT('_motor'!$B$586:$B$665*('_motor'!$E$586:$E$665='_motor'!$E$606))+1)/2)</f>
        <v/>
      </c>
      <c r="H26" s="22">
        <f>IF('_motor'!$B$606=0,"",SUMPRODUCT('_motor'!$B$586:$B$665*('_motor'!$F$586:$F$665&gt;'_motor'!$F$606))+(SUMPRODUCT('_motor'!$B$586:$B$665*('_motor'!$F$586:$F$665='_motor'!$F$606))+1)/2)</f>
        <v/>
      </c>
      <c r="I26" s="19">
        <f>IF('_motor'!$B$606=0,"",IF(AND(ABS('_motor'!$E$606-'_motor'!$B$669)&lt;='_motor'!$B$677+0.000000001,ABS('_motor'!$F$606-'_motor'!$B$669)&lt;='_motor'!$B$677+0.000000001),"5 · Pelotón (no concluyente)",IF(AND('_motor'!$E$606&gt;='_motor'!$B$669,'_motor'!$F$606&lt;'_motor'!$B$669),"1 · Entrada / determinante",IF(AND('_motor'!$E$606&gt;='_motor'!$B$669,'_motor'!$F$606&gt;='_motor'!$B$669),"2 · Intermedia / de enlace",IF(AND('_motor'!$E$606&lt;'_motor'!$B$669,'_motor'!$F$606&gt;='_motor'!$B$669),"3 · Resultado","4 · Excluida / autónoma")))))</f>
        <v/>
      </c>
      <c r="J26" s="19">
        <f>IF('_motor'!$B$606=0,"",IF(AND(ABS('_motor'!$E$606-'_motor'!$B$669)&lt;='_motor'!$B$677+0.000000001,ABS('_motor'!$F$606-'_motor'!$B$669)&lt;='_motor'!$B$677+0.000000001),"Reguladora",IF(AND('_motor'!$E$606&gt;='_motor'!$B$669,'_motor'!$F$606&lt;0.5*'_motor'!$B$669),"Determinante / entorno",IF(AND('_motor'!$E$606&gt;='_motor'!$B$669,'_motor'!$F$606&lt;'_motor'!$B$669),"Palanca secundaria",IF(AND('_motor'!$E$606&gt;='_motor'!$B$669,'_motor'!$F$606&gt;='_motor'!$B$669),"Clave / de enlace",IF(AND('_motor'!$F$606&gt;='_motor'!$B$669,'_motor'!$E$606&gt;=0.5*'_motor'!$B$669),"Objetivo",IF('_motor'!$F$606&gt;='_motor'!$B$669,"Resultado","Autónoma")))))))</f>
        <v/>
      </c>
      <c r="K26" s="19">
        <f>IF('_motor'!$B$606=0,"",'_motor'!$M$606-'_motor'!$O$606)</f>
        <v/>
      </c>
      <c r="L26" s="19">
        <f>IF('_motor'!$B$606=0,"",IF('_motor'!$O$606&lt;'_motor'!$M$606-2,"▲ VARIABLE OCULTA (sube "&amp;TEXT('_motor'!$M$606-'_motor'!$O$606,"0")&amp;" puestos)",IF('_motor'!$O$606&gt;'_motor'!$M$606+2,"▼ Sobrevalorada en directo (baja "&amp;TEXT('_motor'!$O$606-'_motor'!$M$606,"0")&amp;")","= Estable")))</f>
        <v/>
      </c>
    </row>
    <row r="27" spans="1:12" x14ac:dyDescent="0.2">
      <c r="A27" s="21">
        <f>IF('_motor'!$B$607=0,"",'02 · Variables'!$B$28)</f>
        <v/>
      </c>
      <c r="B27" s="19">
        <f>IF('_motor'!$B$607=0,"",'02 · Variables'!$C$28)</f>
        <v/>
      </c>
      <c r="C27" s="38">
        <f>IF('_motor'!$B$607=0,"",'_motor'!$E$607)</f>
        <v/>
      </c>
      <c r="D27" s="38">
        <f>IF('_motor'!$B$607=0,"",'_motor'!$F$607)</f>
        <v/>
      </c>
      <c r="E27" s="33">
        <f>IF(OR('_motor'!$B$607=0,'_motor'!$B$673=0),"",'_motor'!$E$607/'_motor'!$B$673)</f>
        <v/>
      </c>
      <c r="F27" s="33">
        <f>IF(OR('_motor'!$B$607=0,'_motor'!$B$673=0),"",'_motor'!$F$607/'_motor'!$B$673)</f>
        <v/>
      </c>
      <c r="G27" s="22">
        <f>IF('_motor'!$B$607=0,"",SUMPRODUCT('_motor'!$B$586:$B$665*('_motor'!$E$586:$E$665&gt;'_motor'!$E$607))+(SUMPRODUCT('_motor'!$B$586:$B$665*('_motor'!$E$586:$E$665='_motor'!$E$607))+1)/2)</f>
        <v/>
      </c>
      <c r="H27" s="22">
        <f>IF('_motor'!$B$607=0,"",SUMPRODUCT('_motor'!$B$586:$B$665*('_motor'!$F$586:$F$665&gt;'_motor'!$F$607))+(SUMPRODUCT('_motor'!$B$586:$B$665*('_motor'!$F$586:$F$665='_motor'!$F$607))+1)/2)</f>
        <v/>
      </c>
      <c r="I27" s="19">
        <f>IF('_motor'!$B$607=0,"",IF(AND(ABS('_motor'!$E$607-'_motor'!$B$669)&lt;='_motor'!$B$677+0.000000001,ABS('_motor'!$F$607-'_motor'!$B$669)&lt;='_motor'!$B$677+0.000000001),"5 · Pelotón (no concluyente)",IF(AND('_motor'!$E$607&gt;='_motor'!$B$669,'_motor'!$F$607&lt;'_motor'!$B$669),"1 · Entrada / determinante",IF(AND('_motor'!$E$607&gt;='_motor'!$B$669,'_motor'!$F$607&gt;='_motor'!$B$669),"2 · Intermedia / de enlace",IF(AND('_motor'!$E$607&lt;'_motor'!$B$669,'_motor'!$F$607&gt;='_motor'!$B$669),"3 · Resultado","4 · Excluida / autónoma")))))</f>
        <v/>
      </c>
      <c r="J27" s="19">
        <f>IF('_motor'!$B$607=0,"",IF(AND(ABS('_motor'!$E$607-'_motor'!$B$669)&lt;='_motor'!$B$677+0.000000001,ABS('_motor'!$F$607-'_motor'!$B$669)&lt;='_motor'!$B$677+0.000000001),"Reguladora",IF(AND('_motor'!$E$607&gt;='_motor'!$B$669,'_motor'!$F$607&lt;0.5*'_motor'!$B$669),"Determinante / entorno",IF(AND('_motor'!$E$607&gt;='_motor'!$B$669,'_motor'!$F$607&lt;'_motor'!$B$669),"Palanca secundaria",IF(AND('_motor'!$E$607&gt;='_motor'!$B$669,'_motor'!$F$607&gt;='_motor'!$B$669),"Clave / de enlace",IF(AND('_motor'!$F$607&gt;='_motor'!$B$669,'_motor'!$E$607&gt;=0.5*'_motor'!$B$669),"Objetivo",IF('_motor'!$F$607&gt;='_motor'!$B$669,"Resultado","Autónoma")))))))</f>
        <v/>
      </c>
      <c r="K27" s="19">
        <f>IF('_motor'!$B$607=0,"",'_motor'!$M$607-'_motor'!$O$607)</f>
        <v/>
      </c>
      <c r="L27" s="19">
        <f>IF('_motor'!$B$607=0,"",IF('_motor'!$O$607&lt;'_motor'!$M$607-2,"▲ VARIABLE OCULTA (sube "&amp;TEXT('_motor'!$M$607-'_motor'!$O$607,"0")&amp;" puestos)",IF('_motor'!$O$607&gt;'_motor'!$M$607+2,"▼ Sobrevalorada en directo (baja "&amp;TEXT('_motor'!$O$607-'_motor'!$M$607,"0")&amp;")","= Estable")))</f>
        <v/>
      </c>
    </row>
    <row r="28" spans="1:12" x14ac:dyDescent="0.2">
      <c r="A28" s="21">
        <f>IF('_motor'!$B$608=0,"",'02 · Variables'!$B$29)</f>
        <v/>
      </c>
      <c r="B28" s="19">
        <f>IF('_motor'!$B$608=0,"",'02 · Variables'!$C$29)</f>
        <v/>
      </c>
      <c r="C28" s="38">
        <f>IF('_motor'!$B$608=0,"",'_motor'!$E$608)</f>
        <v/>
      </c>
      <c r="D28" s="38">
        <f>IF('_motor'!$B$608=0,"",'_motor'!$F$608)</f>
        <v/>
      </c>
      <c r="E28" s="33">
        <f>IF(OR('_motor'!$B$608=0,'_motor'!$B$673=0),"",'_motor'!$E$608/'_motor'!$B$673)</f>
        <v/>
      </c>
      <c r="F28" s="33">
        <f>IF(OR('_motor'!$B$608=0,'_motor'!$B$673=0),"",'_motor'!$F$608/'_motor'!$B$673)</f>
        <v/>
      </c>
      <c r="G28" s="22">
        <f>IF('_motor'!$B$608=0,"",SUMPRODUCT('_motor'!$B$586:$B$665*('_motor'!$E$586:$E$665&gt;'_motor'!$E$608))+(SUMPRODUCT('_motor'!$B$586:$B$665*('_motor'!$E$586:$E$665='_motor'!$E$608))+1)/2)</f>
        <v/>
      </c>
      <c r="H28" s="22">
        <f>IF('_motor'!$B$608=0,"",SUMPRODUCT('_motor'!$B$586:$B$665*('_motor'!$F$586:$F$665&gt;'_motor'!$F$608))+(SUMPRODUCT('_motor'!$B$586:$B$665*('_motor'!$F$586:$F$665='_motor'!$F$608))+1)/2)</f>
        <v/>
      </c>
      <c r="I28" s="19">
        <f>IF('_motor'!$B$608=0,"",IF(AND(ABS('_motor'!$E$608-'_motor'!$B$669)&lt;='_motor'!$B$677+0.000000001,ABS('_motor'!$F$608-'_motor'!$B$669)&lt;='_motor'!$B$677+0.000000001),"5 · Pelotón (no concluyente)",IF(AND('_motor'!$E$608&gt;='_motor'!$B$669,'_motor'!$F$608&lt;'_motor'!$B$669),"1 · Entrada / determinante",IF(AND('_motor'!$E$608&gt;='_motor'!$B$669,'_motor'!$F$608&gt;='_motor'!$B$669),"2 · Intermedia / de enlace",IF(AND('_motor'!$E$608&lt;'_motor'!$B$669,'_motor'!$F$608&gt;='_motor'!$B$669),"3 · Resultado","4 · Excluida / autónoma")))))</f>
        <v/>
      </c>
      <c r="J28" s="19">
        <f>IF('_motor'!$B$608=0,"",IF(AND(ABS('_motor'!$E$608-'_motor'!$B$669)&lt;='_motor'!$B$677+0.000000001,ABS('_motor'!$F$608-'_motor'!$B$669)&lt;='_motor'!$B$677+0.000000001),"Reguladora",IF(AND('_motor'!$E$608&gt;='_motor'!$B$669,'_motor'!$F$608&lt;0.5*'_motor'!$B$669),"Determinante / entorno",IF(AND('_motor'!$E$608&gt;='_motor'!$B$669,'_motor'!$F$608&lt;'_motor'!$B$669),"Palanca secundaria",IF(AND('_motor'!$E$608&gt;='_motor'!$B$669,'_motor'!$F$608&gt;='_motor'!$B$669),"Clave / de enlace",IF(AND('_motor'!$F$608&gt;='_motor'!$B$669,'_motor'!$E$608&gt;=0.5*'_motor'!$B$669),"Objetivo",IF('_motor'!$F$608&gt;='_motor'!$B$669,"Resultado","Autónoma")))))))</f>
        <v/>
      </c>
      <c r="K28" s="19">
        <f>IF('_motor'!$B$608=0,"",'_motor'!$M$608-'_motor'!$O$608)</f>
        <v/>
      </c>
      <c r="L28" s="19">
        <f>IF('_motor'!$B$608=0,"",IF('_motor'!$O$608&lt;'_motor'!$M$608-2,"▲ VARIABLE OCULTA (sube "&amp;TEXT('_motor'!$M$608-'_motor'!$O$608,"0")&amp;" puestos)",IF('_motor'!$O$608&gt;'_motor'!$M$608+2,"▼ Sobrevalorada en directo (baja "&amp;TEXT('_motor'!$O$608-'_motor'!$M$608,"0")&amp;")","= Estable")))</f>
        <v/>
      </c>
    </row>
    <row r="29" spans="1:12" x14ac:dyDescent="0.2">
      <c r="A29" s="21">
        <f>IF('_motor'!$B$609=0,"",'02 · Variables'!$B$30)</f>
        <v/>
      </c>
      <c r="B29" s="19">
        <f>IF('_motor'!$B$609=0,"",'02 · Variables'!$C$30)</f>
        <v/>
      </c>
      <c r="C29" s="38">
        <f>IF('_motor'!$B$609=0,"",'_motor'!$E$609)</f>
        <v/>
      </c>
      <c r="D29" s="38">
        <f>IF('_motor'!$B$609=0,"",'_motor'!$F$609)</f>
        <v/>
      </c>
      <c r="E29" s="33">
        <f>IF(OR('_motor'!$B$609=0,'_motor'!$B$673=0),"",'_motor'!$E$609/'_motor'!$B$673)</f>
        <v/>
      </c>
      <c r="F29" s="33">
        <f>IF(OR('_motor'!$B$609=0,'_motor'!$B$673=0),"",'_motor'!$F$609/'_motor'!$B$673)</f>
        <v/>
      </c>
      <c r="G29" s="22">
        <f>IF('_motor'!$B$609=0,"",SUMPRODUCT('_motor'!$B$586:$B$665*('_motor'!$E$586:$E$665&gt;'_motor'!$E$609))+(SUMPRODUCT('_motor'!$B$586:$B$665*('_motor'!$E$586:$E$665='_motor'!$E$609))+1)/2)</f>
        <v/>
      </c>
      <c r="H29" s="22">
        <f>IF('_motor'!$B$609=0,"",SUMPRODUCT('_motor'!$B$586:$B$665*('_motor'!$F$586:$F$665&gt;'_motor'!$F$609))+(SUMPRODUCT('_motor'!$B$586:$B$665*('_motor'!$F$586:$F$665='_motor'!$F$609))+1)/2)</f>
        <v/>
      </c>
      <c r="I29" s="19">
        <f>IF('_motor'!$B$609=0,"",IF(AND(ABS('_motor'!$E$609-'_motor'!$B$669)&lt;='_motor'!$B$677+0.000000001,ABS('_motor'!$F$609-'_motor'!$B$669)&lt;='_motor'!$B$677+0.000000001),"5 · Pelotón (no concluyente)",IF(AND('_motor'!$E$609&gt;='_motor'!$B$669,'_motor'!$F$609&lt;'_motor'!$B$669),"1 · Entrada / determinante",IF(AND('_motor'!$E$609&gt;='_motor'!$B$669,'_motor'!$F$609&gt;='_motor'!$B$669),"2 · Intermedia / de enlace",IF(AND('_motor'!$E$609&lt;'_motor'!$B$669,'_motor'!$F$609&gt;='_motor'!$B$669),"3 · Resultado","4 · Excluida / autónoma")))))</f>
        <v/>
      </c>
      <c r="J29" s="19">
        <f>IF('_motor'!$B$609=0,"",IF(AND(ABS('_motor'!$E$609-'_motor'!$B$669)&lt;='_motor'!$B$677+0.000000001,ABS('_motor'!$F$609-'_motor'!$B$669)&lt;='_motor'!$B$677+0.000000001),"Reguladora",IF(AND('_motor'!$E$609&gt;='_motor'!$B$669,'_motor'!$F$609&lt;0.5*'_motor'!$B$669),"Determinante / entorno",IF(AND('_motor'!$E$609&gt;='_motor'!$B$669,'_motor'!$F$609&lt;'_motor'!$B$669),"Palanca secundaria",IF(AND('_motor'!$E$609&gt;='_motor'!$B$669,'_motor'!$F$609&gt;='_motor'!$B$669),"Clave / de enlace",IF(AND('_motor'!$F$609&gt;='_motor'!$B$669,'_motor'!$E$609&gt;=0.5*'_motor'!$B$669),"Objetivo",IF('_motor'!$F$609&gt;='_motor'!$B$669,"Resultado","Autónoma")))))))</f>
        <v/>
      </c>
      <c r="K29" s="19">
        <f>IF('_motor'!$B$609=0,"",'_motor'!$M$609-'_motor'!$O$609)</f>
        <v/>
      </c>
      <c r="L29" s="19">
        <f>IF('_motor'!$B$609=0,"",IF('_motor'!$O$609&lt;'_motor'!$M$609-2,"▲ VARIABLE OCULTA (sube "&amp;TEXT('_motor'!$M$609-'_motor'!$O$609,"0")&amp;" puestos)",IF('_motor'!$O$609&gt;'_motor'!$M$609+2,"▼ Sobrevalorada en directo (baja "&amp;TEXT('_motor'!$O$609-'_motor'!$M$609,"0")&amp;")","= Estable")))</f>
        <v/>
      </c>
    </row>
    <row r="30" spans="1:12" x14ac:dyDescent="0.2">
      <c r="A30" s="21">
        <f>IF('_motor'!$B$610=0,"",'02 · Variables'!$B$31)</f>
        <v/>
      </c>
      <c r="B30" s="19">
        <f>IF('_motor'!$B$610=0,"",'02 · Variables'!$C$31)</f>
        <v/>
      </c>
      <c r="C30" s="38">
        <f>IF('_motor'!$B$610=0,"",'_motor'!$E$610)</f>
        <v/>
      </c>
      <c r="D30" s="38">
        <f>IF('_motor'!$B$610=0,"",'_motor'!$F$610)</f>
        <v/>
      </c>
      <c r="E30" s="33">
        <f>IF(OR('_motor'!$B$610=0,'_motor'!$B$673=0),"",'_motor'!$E$610/'_motor'!$B$673)</f>
        <v/>
      </c>
      <c r="F30" s="33">
        <f>IF(OR('_motor'!$B$610=0,'_motor'!$B$673=0),"",'_motor'!$F$610/'_motor'!$B$673)</f>
        <v/>
      </c>
      <c r="G30" s="22">
        <f>IF('_motor'!$B$610=0,"",SUMPRODUCT('_motor'!$B$586:$B$665*('_motor'!$E$586:$E$665&gt;'_motor'!$E$610))+(SUMPRODUCT('_motor'!$B$586:$B$665*('_motor'!$E$586:$E$665='_motor'!$E$610))+1)/2)</f>
        <v/>
      </c>
      <c r="H30" s="22">
        <f>IF('_motor'!$B$610=0,"",SUMPRODUCT('_motor'!$B$586:$B$665*('_motor'!$F$586:$F$665&gt;'_motor'!$F$610))+(SUMPRODUCT('_motor'!$B$586:$B$665*('_motor'!$F$586:$F$665='_motor'!$F$610))+1)/2)</f>
        <v/>
      </c>
      <c r="I30" s="19">
        <f>IF('_motor'!$B$610=0,"",IF(AND(ABS('_motor'!$E$610-'_motor'!$B$669)&lt;='_motor'!$B$677+0.000000001,ABS('_motor'!$F$610-'_motor'!$B$669)&lt;='_motor'!$B$677+0.000000001),"5 · Pelotón (no concluyente)",IF(AND('_motor'!$E$610&gt;='_motor'!$B$669,'_motor'!$F$610&lt;'_motor'!$B$669),"1 · Entrada / determinante",IF(AND('_motor'!$E$610&gt;='_motor'!$B$669,'_motor'!$F$610&gt;='_motor'!$B$669),"2 · Intermedia / de enlace",IF(AND('_motor'!$E$610&lt;'_motor'!$B$669,'_motor'!$F$610&gt;='_motor'!$B$669),"3 · Resultado","4 · Excluida / autónoma")))))</f>
        <v/>
      </c>
      <c r="J30" s="19">
        <f>IF('_motor'!$B$610=0,"",IF(AND(ABS('_motor'!$E$610-'_motor'!$B$669)&lt;='_motor'!$B$677+0.000000001,ABS('_motor'!$F$610-'_motor'!$B$669)&lt;='_motor'!$B$677+0.000000001),"Reguladora",IF(AND('_motor'!$E$610&gt;='_motor'!$B$669,'_motor'!$F$610&lt;0.5*'_motor'!$B$669),"Determinante / entorno",IF(AND('_motor'!$E$610&gt;='_motor'!$B$669,'_motor'!$F$610&lt;'_motor'!$B$669),"Palanca secundaria",IF(AND('_motor'!$E$610&gt;='_motor'!$B$669,'_motor'!$F$610&gt;='_motor'!$B$669),"Clave / de enlace",IF(AND('_motor'!$F$610&gt;='_motor'!$B$669,'_motor'!$E$610&gt;=0.5*'_motor'!$B$669),"Objetivo",IF('_motor'!$F$610&gt;='_motor'!$B$669,"Resultado","Autónoma")))))))</f>
        <v/>
      </c>
      <c r="K30" s="19">
        <f>IF('_motor'!$B$610=0,"",'_motor'!$M$610-'_motor'!$O$610)</f>
        <v/>
      </c>
      <c r="L30" s="19">
        <f>IF('_motor'!$B$610=0,"",IF('_motor'!$O$610&lt;'_motor'!$M$610-2,"▲ VARIABLE OCULTA (sube "&amp;TEXT('_motor'!$M$610-'_motor'!$O$610,"0")&amp;" puestos)",IF('_motor'!$O$610&gt;'_motor'!$M$610+2,"▼ Sobrevalorada en directo (baja "&amp;TEXT('_motor'!$O$610-'_motor'!$M$610,"0")&amp;")","= Estable")))</f>
        <v/>
      </c>
    </row>
    <row r="31" spans="1:12" x14ac:dyDescent="0.2">
      <c r="A31" s="21">
        <f>IF('_motor'!$B$611=0,"",'02 · Variables'!$B$32)</f>
        <v/>
      </c>
      <c r="B31" s="19">
        <f>IF('_motor'!$B$611=0,"",'02 · Variables'!$C$32)</f>
        <v/>
      </c>
      <c r="C31" s="38">
        <f>IF('_motor'!$B$611=0,"",'_motor'!$E$611)</f>
        <v/>
      </c>
      <c r="D31" s="38">
        <f>IF('_motor'!$B$611=0,"",'_motor'!$F$611)</f>
        <v/>
      </c>
      <c r="E31" s="33">
        <f>IF(OR('_motor'!$B$611=0,'_motor'!$B$673=0),"",'_motor'!$E$611/'_motor'!$B$673)</f>
        <v/>
      </c>
      <c r="F31" s="33">
        <f>IF(OR('_motor'!$B$611=0,'_motor'!$B$673=0),"",'_motor'!$F$611/'_motor'!$B$673)</f>
        <v/>
      </c>
      <c r="G31" s="22">
        <f>IF('_motor'!$B$611=0,"",SUMPRODUCT('_motor'!$B$586:$B$665*('_motor'!$E$586:$E$665&gt;'_motor'!$E$611))+(SUMPRODUCT('_motor'!$B$586:$B$665*('_motor'!$E$586:$E$665='_motor'!$E$611))+1)/2)</f>
        <v/>
      </c>
      <c r="H31" s="22">
        <f>IF('_motor'!$B$611=0,"",SUMPRODUCT('_motor'!$B$586:$B$665*('_motor'!$F$586:$F$665&gt;'_motor'!$F$611))+(SUMPRODUCT('_motor'!$B$586:$B$665*('_motor'!$F$586:$F$665='_motor'!$F$611))+1)/2)</f>
        <v/>
      </c>
      <c r="I31" s="19">
        <f>IF('_motor'!$B$611=0,"",IF(AND(ABS('_motor'!$E$611-'_motor'!$B$669)&lt;='_motor'!$B$677+0.000000001,ABS('_motor'!$F$611-'_motor'!$B$669)&lt;='_motor'!$B$677+0.000000001),"5 · Pelotón (no concluyente)",IF(AND('_motor'!$E$611&gt;='_motor'!$B$669,'_motor'!$F$611&lt;'_motor'!$B$669),"1 · Entrada / determinante",IF(AND('_motor'!$E$611&gt;='_motor'!$B$669,'_motor'!$F$611&gt;='_motor'!$B$669),"2 · Intermedia / de enlace",IF(AND('_motor'!$E$611&lt;'_motor'!$B$669,'_motor'!$F$611&gt;='_motor'!$B$669),"3 · Resultado","4 · Excluida / autónoma")))))</f>
        <v/>
      </c>
      <c r="J31" s="19">
        <f>IF('_motor'!$B$611=0,"",IF(AND(ABS('_motor'!$E$611-'_motor'!$B$669)&lt;='_motor'!$B$677+0.000000001,ABS('_motor'!$F$611-'_motor'!$B$669)&lt;='_motor'!$B$677+0.000000001),"Reguladora",IF(AND('_motor'!$E$611&gt;='_motor'!$B$669,'_motor'!$F$611&lt;0.5*'_motor'!$B$669),"Determinante / entorno",IF(AND('_motor'!$E$611&gt;='_motor'!$B$669,'_motor'!$F$611&lt;'_motor'!$B$669),"Palanca secundaria",IF(AND('_motor'!$E$611&gt;='_motor'!$B$669,'_motor'!$F$611&gt;='_motor'!$B$669),"Clave / de enlace",IF(AND('_motor'!$F$611&gt;='_motor'!$B$669,'_motor'!$E$611&gt;=0.5*'_motor'!$B$669),"Objetivo",IF('_motor'!$F$611&gt;='_motor'!$B$669,"Resultado","Autónoma")))))))</f>
        <v/>
      </c>
      <c r="K31" s="19">
        <f>IF('_motor'!$B$611=0,"",'_motor'!$M$611-'_motor'!$O$611)</f>
        <v/>
      </c>
      <c r="L31" s="19">
        <f>IF('_motor'!$B$611=0,"",IF('_motor'!$O$611&lt;'_motor'!$M$611-2,"▲ VARIABLE OCULTA (sube "&amp;TEXT('_motor'!$M$611-'_motor'!$O$611,"0")&amp;" puestos)",IF('_motor'!$O$611&gt;'_motor'!$M$611+2,"▼ Sobrevalorada en directo (baja "&amp;TEXT('_motor'!$O$611-'_motor'!$M$611,"0")&amp;")","= Estable")))</f>
        <v/>
      </c>
    </row>
    <row r="32" spans="1:12" x14ac:dyDescent="0.2">
      <c r="A32" s="21">
        <f>IF('_motor'!$B$612=0,"",'02 · Variables'!$B$33)</f>
        <v/>
      </c>
      <c r="B32" s="19">
        <f>IF('_motor'!$B$612=0,"",'02 · Variables'!$C$33)</f>
        <v/>
      </c>
      <c r="C32" s="38">
        <f>IF('_motor'!$B$612=0,"",'_motor'!$E$612)</f>
        <v/>
      </c>
      <c r="D32" s="38">
        <f>IF('_motor'!$B$612=0,"",'_motor'!$F$612)</f>
        <v/>
      </c>
      <c r="E32" s="33">
        <f>IF(OR('_motor'!$B$612=0,'_motor'!$B$673=0),"",'_motor'!$E$612/'_motor'!$B$673)</f>
        <v/>
      </c>
      <c r="F32" s="33">
        <f>IF(OR('_motor'!$B$612=0,'_motor'!$B$673=0),"",'_motor'!$F$612/'_motor'!$B$673)</f>
        <v/>
      </c>
      <c r="G32" s="22">
        <f>IF('_motor'!$B$612=0,"",SUMPRODUCT('_motor'!$B$586:$B$665*('_motor'!$E$586:$E$665&gt;'_motor'!$E$612))+(SUMPRODUCT('_motor'!$B$586:$B$665*('_motor'!$E$586:$E$665='_motor'!$E$612))+1)/2)</f>
        <v/>
      </c>
      <c r="H32" s="22">
        <f>IF('_motor'!$B$612=0,"",SUMPRODUCT('_motor'!$B$586:$B$665*('_motor'!$F$586:$F$665&gt;'_motor'!$F$612))+(SUMPRODUCT('_motor'!$B$586:$B$665*('_motor'!$F$586:$F$665='_motor'!$F$612))+1)/2)</f>
        <v/>
      </c>
      <c r="I32" s="19">
        <f>IF('_motor'!$B$612=0,"",IF(AND(ABS('_motor'!$E$612-'_motor'!$B$669)&lt;='_motor'!$B$677+0.000000001,ABS('_motor'!$F$612-'_motor'!$B$669)&lt;='_motor'!$B$677+0.000000001),"5 · Pelotón (no concluyente)",IF(AND('_motor'!$E$612&gt;='_motor'!$B$669,'_motor'!$F$612&lt;'_motor'!$B$669),"1 · Entrada / determinante",IF(AND('_motor'!$E$612&gt;='_motor'!$B$669,'_motor'!$F$612&gt;='_motor'!$B$669),"2 · Intermedia / de enlace",IF(AND('_motor'!$E$612&lt;'_motor'!$B$669,'_motor'!$F$612&gt;='_motor'!$B$669),"3 · Resultado","4 · Excluida / autónoma")))))</f>
        <v/>
      </c>
      <c r="J32" s="19">
        <f>IF('_motor'!$B$612=0,"",IF(AND(ABS('_motor'!$E$612-'_motor'!$B$669)&lt;='_motor'!$B$677+0.000000001,ABS('_motor'!$F$612-'_motor'!$B$669)&lt;='_motor'!$B$677+0.000000001),"Reguladora",IF(AND('_motor'!$E$612&gt;='_motor'!$B$669,'_motor'!$F$612&lt;0.5*'_motor'!$B$669),"Determinante / entorno",IF(AND('_motor'!$E$612&gt;='_motor'!$B$669,'_motor'!$F$612&lt;'_motor'!$B$669),"Palanca secundaria",IF(AND('_motor'!$E$612&gt;='_motor'!$B$669,'_motor'!$F$612&gt;='_motor'!$B$669),"Clave / de enlace",IF(AND('_motor'!$F$612&gt;='_motor'!$B$669,'_motor'!$E$612&gt;=0.5*'_motor'!$B$669),"Objetivo",IF('_motor'!$F$612&gt;='_motor'!$B$669,"Resultado","Autónoma")))))))</f>
        <v/>
      </c>
      <c r="K32" s="19">
        <f>IF('_motor'!$B$612=0,"",'_motor'!$M$612-'_motor'!$O$612)</f>
        <v/>
      </c>
      <c r="L32" s="19">
        <f>IF('_motor'!$B$612=0,"",IF('_motor'!$O$612&lt;'_motor'!$M$612-2,"▲ VARIABLE OCULTA (sube "&amp;TEXT('_motor'!$M$612-'_motor'!$O$612,"0")&amp;" puestos)",IF('_motor'!$O$612&gt;'_motor'!$M$612+2,"▼ Sobrevalorada en directo (baja "&amp;TEXT('_motor'!$O$612-'_motor'!$M$612,"0")&amp;")","= Estable")))</f>
        <v/>
      </c>
    </row>
    <row r="33" spans="1:12" x14ac:dyDescent="0.2">
      <c r="A33" s="21">
        <f>IF('_motor'!$B$613=0,"",'02 · Variables'!$B$34)</f>
        <v/>
      </c>
      <c r="B33" s="19">
        <f>IF('_motor'!$B$613=0,"",'02 · Variables'!$C$34)</f>
        <v/>
      </c>
      <c r="C33" s="38">
        <f>IF('_motor'!$B$613=0,"",'_motor'!$E$613)</f>
        <v/>
      </c>
      <c r="D33" s="38">
        <f>IF('_motor'!$B$613=0,"",'_motor'!$F$613)</f>
        <v/>
      </c>
      <c r="E33" s="33">
        <f>IF(OR('_motor'!$B$613=0,'_motor'!$B$673=0),"",'_motor'!$E$613/'_motor'!$B$673)</f>
        <v/>
      </c>
      <c r="F33" s="33">
        <f>IF(OR('_motor'!$B$613=0,'_motor'!$B$673=0),"",'_motor'!$F$613/'_motor'!$B$673)</f>
        <v/>
      </c>
      <c r="G33" s="22">
        <f>IF('_motor'!$B$613=0,"",SUMPRODUCT('_motor'!$B$586:$B$665*('_motor'!$E$586:$E$665&gt;'_motor'!$E$613))+(SUMPRODUCT('_motor'!$B$586:$B$665*('_motor'!$E$586:$E$665='_motor'!$E$613))+1)/2)</f>
        <v/>
      </c>
      <c r="H33" s="22">
        <f>IF('_motor'!$B$613=0,"",SUMPRODUCT('_motor'!$B$586:$B$665*('_motor'!$F$586:$F$665&gt;'_motor'!$F$613))+(SUMPRODUCT('_motor'!$B$586:$B$665*('_motor'!$F$586:$F$665='_motor'!$F$613))+1)/2)</f>
        <v/>
      </c>
      <c r="I33" s="19">
        <f>IF('_motor'!$B$613=0,"",IF(AND(ABS('_motor'!$E$613-'_motor'!$B$669)&lt;='_motor'!$B$677+0.000000001,ABS('_motor'!$F$613-'_motor'!$B$669)&lt;='_motor'!$B$677+0.000000001),"5 · Pelotón (no concluyente)",IF(AND('_motor'!$E$613&gt;='_motor'!$B$669,'_motor'!$F$613&lt;'_motor'!$B$669),"1 · Entrada / determinante",IF(AND('_motor'!$E$613&gt;='_motor'!$B$669,'_motor'!$F$613&gt;='_motor'!$B$669),"2 · Intermedia / de enlace",IF(AND('_motor'!$E$613&lt;'_motor'!$B$669,'_motor'!$F$613&gt;='_motor'!$B$669),"3 · Resultado","4 · Excluida / autónoma")))))</f>
        <v/>
      </c>
      <c r="J33" s="19">
        <f>IF('_motor'!$B$613=0,"",IF(AND(ABS('_motor'!$E$613-'_motor'!$B$669)&lt;='_motor'!$B$677+0.000000001,ABS('_motor'!$F$613-'_motor'!$B$669)&lt;='_motor'!$B$677+0.000000001),"Reguladora",IF(AND('_motor'!$E$613&gt;='_motor'!$B$669,'_motor'!$F$613&lt;0.5*'_motor'!$B$669),"Determinante / entorno",IF(AND('_motor'!$E$613&gt;='_motor'!$B$669,'_motor'!$F$613&lt;'_motor'!$B$669),"Palanca secundaria",IF(AND('_motor'!$E$613&gt;='_motor'!$B$669,'_motor'!$F$613&gt;='_motor'!$B$669),"Clave / de enlace",IF(AND('_motor'!$F$613&gt;='_motor'!$B$669,'_motor'!$E$613&gt;=0.5*'_motor'!$B$669),"Objetivo",IF('_motor'!$F$613&gt;='_motor'!$B$669,"Resultado","Autónoma")))))))</f>
        <v/>
      </c>
      <c r="K33" s="19">
        <f>IF('_motor'!$B$613=0,"",'_motor'!$M$613-'_motor'!$O$613)</f>
        <v/>
      </c>
      <c r="L33" s="19">
        <f>IF('_motor'!$B$613=0,"",IF('_motor'!$O$613&lt;'_motor'!$M$613-2,"▲ VARIABLE OCULTA (sube "&amp;TEXT('_motor'!$M$613-'_motor'!$O$613,"0")&amp;" puestos)",IF('_motor'!$O$613&gt;'_motor'!$M$613+2,"▼ Sobrevalorada en directo (baja "&amp;TEXT('_motor'!$O$613-'_motor'!$M$613,"0")&amp;")","= Estable")))</f>
        <v/>
      </c>
    </row>
    <row r="34" spans="1:12" x14ac:dyDescent="0.2">
      <c r="A34" s="21">
        <f>IF('_motor'!$B$614=0,"",'02 · Variables'!$B$35)</f>
        <v/>
      </c>
      <c r="B34" s="19">
        <f>IF('_motor'!$B$614=0,"",'02 · Variables'!$C$35)</f>
        <v/>
      </c>
      <c r="C34" s="38">
        <f>IF('_motor'!$B$614=0,"",'_motor'!$E$614)</f>
        <v/>
      </c>
      <c r="D34" s="38">
        <f>IF('_motor'!$B$614=0,"",'_motor'!$F$614)</f>
        <v/>
      </c>
      <c r="E34" s="33">
        <f>IF(OR('_motor'!$B$614=0,'_motor'!$B$673=0),"",'_motor'!$E$614/'_motor'!$B$673)</f>
        <v/>
      </c>
      <c r="F34" s="33">
        <f>IF(OR('_motor'!$B$614=0,'_motor'!$B$673=0),"",'_motor'!$F$614/'_motor'!$B$673)</f>
        <v/>
      </c>
      <c r="G34" s="22">
        <f>IF('_motor'!$B$614=0,"",SUMPRODUCT('_motor'!$B$586:$B$665*('_motor'!$E$586:$E$665&gt;'_motor'!$E$614))+(SUMPRODUCT('_motor'!$B$586:$B$665*('_motor'!$E$586:$E$665='_motor'!$E$614))+1)/2)</f>
        <v/>
      </c>
      <c r="H34" s="22">
        <f>IF('_motor'!$B$614=0,"",SUMPRODUCT('_motor'!$B$586:$B$665*('_motor'!$F$586:$F$665&gt;'_motor'!$F$614))+(SUMPRODUCT('_motor'!$B$586:$B$665*('_motor'!$F$586:$F$665='_motor'!$F$614))+1)/2)</f>
        <v/>
      </c>
      <c r="I34" s="19">
        <f>IF('_motor'!$B$614=0,"",IF(AND(ABS('_motor'!$E$614-'_motor'!$B$669)&lt;='_motor'!$B$677+0.000000001,ABS('_motor'!$F$614-'_motor'!$B$669)&lt;='_motor'!$B$677+0.000000001),"5 · Pelotón (no concluyente)",IF(AND('_motor'!$E$614&gt;='_motor'!$B$669,'_motor'!$F$614&lt;'_motor'!$B$669),"1 · Entrada / determinante",IF(AND('_motor'!$E$614&gt;='_motor'!$B$669,'_motor'!$F$614&gt;='_motor'!$B$669),"2 · Intermedia / de enlace",IF(AND('_motor'!$E$614&lt;'_motor'!$B$669,'_motor'!$F$614&gt;='_motor'!$B$669),"3 · Resultado","4 · Excluida / autónoma")))))</f>
        <v/>
      </c>
      <c r="J34" s="19">
        <f>IF('_motor'!$B$614=0,"",IF(AND(ABS('_motor'!$E$614-'_motor'!$B$669)&lt;='_motor'!$B$677+0.000000001,ABS('_motor'!$F$614-'_motor'!$B$669)&lt;='_motor'!$B$677+0.000000001),"Reguladora",IF(AND('_motor'!$E$614&gt;='_motor'!$B$669,'_motor'!$F$614&lt;0.5*'_motor'!$B$669),"Determinante / entorno",IF(AND('_motor'!$E$614&gt;='_motor'!$B$669,'_motor'!$F$614&lt;'_motor'!$B$669),"Palanca secundaria",IF(AND('_motor'!$E$614&gt;='_motor'!$B$669,'_motor'!$F$614&gt;='_motor'!$B$669),"Clave / de enlace",IF(AND('_motor'!$F$614&gt;='_motor'!$B$669,'_motor'!$E$614&gt;=0.5*'_motor'!$B$669),"Objetivo",IF('_motor'!$F$614&gt;='_motor'!$B$669,"Resultado","Autónoma")))))))</f>
        <v/>
      </c>
      <c r="K34" s="19">
        <f>IF('_motor'!$B$614=0,"",'_motor'!$M$614-'_motor'!$O$614)</f>
        <v/>
      </c>
      <c r="L34" s="19">
        <f>IF('_motor'!$B$614=0,"",IF('_motor'!$O$614&lt;'_motor'!$M$614-2,"▲ VARIABLE OCULTA (sube "&amp;TEXT('_motor'!$M$614-'_motor'!$O$614,"0")&amp;" puestos)",IF('_motor'!$O$614&gt;'_motor'!$M$614+2,"▼ Sobrevalorada en directo (baja "&amp;TEXT('_motor'!$O$614-'_motor'!$M$614,"0")&amp;")","= Estable")))</f>
        <v/>
      </c>
    </row>
    <row r="35" spans="1:12" x14ac:dyDescent="0.2">
      <c r="A35" s="21">
        <f>IF('_motor'!$B$615=0,"",'02 · Variables'!$B$36)</f>
        <v/>
      </c>
      <c r="B35" s="19">
        <f>IF('_motor'!$B$615=0,"",'02 · Variables'!$C$36)</f>
        <v/>
      </c>
      <c r="C35" s="38">
        <f>IF('_motor'!$B$615=0,"",'_motor'!$E$615)</f>
        <v/>
      </c>
      <c r="D35" s="38">
        <f>IF('_motor'!$B$615=0,"",'_motor'!$F$615)</f>
        <v/>
      </c>
      <c r="E35" s="33">
        <f>IF(OR('_motor'!$B$615=0,'_motor'!$B$673=0),"",'_motor'!$E$615/'_motor'!$B$673)</f>
        <v/>
      </c>
      <c r="F35" s="33">
        <f>IF(OR('_motor'!$B$615=0,'_motor'!$B$673=0),"",'_motor'!$F$615/'_motor'!$B$673)</f>
        <v/>
      </c>
      <c r="G35" s="22">
        <f>IF('_motor'!$B$615=0,"",SUMPRODUCT('_motor'!$B$586:$B$665*('_motor'!$E$586:$E$665&gt;'_motor'!$E$615))+(SUMPRODUCT('_motor'!$B$586:$B$665*('_motor'!$E$586:$E$665='_motor'!$E$615))+1)/2)</f>
        <v/>
      </c>
      <c r="H35" s="22">
        <f>IF('_motor'!$B$615=0,"",SUMPRODUCT('_motor'!$B$586:$B$665*('_motor'!$F$586:$F$665&gt;'_motor'!$F$615))+(SUMPRODUCT('_motor'!$B$586:$B$665*('_motor'!$F$586:$F$665='_motor'!$F$615))+1)/2)</f>
        <v/>
      </c>
      <c r="I35" s="19">
        <f>IF('_motor'!$B$615=0,"",IF(AND(ABS('_motor'!$E$615-'_motor'!$B$669)&lt;='_motor'!$B$677+0.000000001,ABS('_motor'!$F$615-'_motor'!$B$669)&lt;='_motor'!$B$677+0.000000001),"5 · Pelotón (no concluyente)",IF(AND('_motor'!$E$615&gt;='_motor'!$B$669,'_motor'!$F$615&lt;'_motor'!$B$669),"1 · Entrada / determinante",IF(AND('_motor'!$E$615&gt;='_motor'!$B$669,'_motor'!$F$615&gt;='_motor'!$B$669),"2 · Intermedia / de enlace",IF(AND('_motor'!$E$615&lt;'_motor'!$B$669,'_motor'!$F$615&gt;='_motor'!$B$669),"3 · Resultado","4 · Excluida / autónoma")))))</f>
        <v/>
      </c>
      <c r="J35" s="19">
        <f>IF('_motor'!$B$615=0,"",IF(AND(ABS('_motor'!$E$615-'_motor'!$B$669)&lt;='_motor'!$B$677+0.000000001,ABS('_motor'!$F$615-'_motor'!$B$669)&lt;='_motor'!$B$677+0.000000001),"Reguladora",IF(AND('_motor'!$E$615&gt;='_motor'!$B$669,'_motor'!$F$615&lt;0.5*'_motor'!$B$669),"Determinante / entorno",IF(AND('_motor'!$E$615&gt;='_motor'!$B$669,'_motor'!$F$615&lt;'_motor'!$B$669),"Palanca secundaria",IF(AND('_motor'!$E$615&gt;='_motor'!$B$669,'_motor'!$F$615&gt;='_motor'!$B$669),"Clave / de enlace",IF(AND('_motor'!$F$615&gt;='_motor'!$B$669,'_motor'!$E$615&gt;=0.5*'_motor'!$B$669),"Objetivo",IF('_motor'!$F$615&gt;='_motor'!$B$669,"Resultado","Autónoma")))))))</f>
        <v/>
      </c>
      <c r="K35" s="19">
        <f>IF('_motor'!$B$615=0,"",'_motor'!$M$615-'_motor'!$O$615)</f>
        <v/>
      </c>
      <c r="L35" s="19">
        <f>IF('_motor'!$B$615=0,"",IF('_motor'!$O$615&lt;'_motor'!$M$615-2,"▲ VARIABLE OCULTA (sube "&amp;TEXT('_motor'!$M$615-'_motor'!$O$615,"0")&amp;" puestos)",IF('_motor'!$O$615&gt;'_motor'!$M$615+2,"▼ Sobrevalorada en directo (baja "&amp;TEXT('_motor'!$O$615-'_motor'!$M$615,"0")&amp;")","= Estable")))</f>
        <v/>
      </c>
    </row>
    <row r="36" spans="1:12" x14ac:dyDescent="0.2">
      <c r="A36" s="21">
        <f>IF('_motor'!$B$616=0,"",'02 · Variables'!$B$37)</f>
        <v/>
      </c>
      <c r="B36" s="19">
        <f>IF('_motor'!$B$616=0,"",'02 · Variables'!$C$37)</f>
        <v/>
      </c>
      <c r="C36" s="38">
        <f>IF('_motor'!$B$616=0,"",'_motor'!$E$616)</f>
        <v/>
      </c>
      <c r="D36" s="38">
        <f>IF('_motor'!$B$616=0,"",'_motor'!$F$616)</f>
        <v/>
      </c>
      <c r="E36" s="33">
        <f>IF(OR('_motor'!$B$616=0,'_motor'!$B$673=0),"",'_motor'!$E$616/'_motor'!$B$673)</f>
        <v/>
      </c>
      <c r="F36" s="33">
        <f>IF(OR('_motor'!$B$616=0,'_motor'!$B$673=0),"",'_motor'!$F$616/'_motor'!$B$673)</f>
        <v/>
      </c>
      <c r="G36" s="22">
        <f>IF('_motor'!$B$616=0,"",SUMPRODUCT('_motor'!$B$586:$B$665*('_motor'!$E$586:$E$665&gt;'_motor'!$E$616))+(SUMPRODUCT('_motor'!$B$586:$B$665*('_motor'!$E$586:$E$665='_motor'!$E$616))+1)/2)</f>
        <v/>
      </c>
      <c r="H36" s="22">
        <f>IF('_motor'!$B$616=0,"",SUMPRODUCT('_motor'!$B$586:$B$665*('_motor'!$F$586:$F$665&gt;'_motor'!$F$616))+(SUMPRODUCT('_motor'!$B$586:$B$665*('_motor'!$F$586:$F$665='_motor'!$F$616))+1)/2)</f>
        <v/>
      </c>
      <c r="I36" s="19">
        <f>IF('_motor'!$B$616=0,"",IF(AND(ABS('_motor'!$E$616-'_motor'!$B$669)&lt;='_motor'!$B$677+0.000000001,ABS('_motor'!$F$616-'_motor'!$B$669)&lt;='_motor'!$B$677+0.000000001),"5 · Pelotón (no concluyente)",IF(AND('_motor'!$E$616&gt;='_motor'!$B$669,'_motor'!$F$616&lt;'_motor'!$B$669),"1 · Entrada / determinante",IF(AND('_motor'!$E$616&gt;='_motor'!$B$669,'_motor'!$F$616&gt;='_motor'!$B$669),"2 · Intermedia / de enlace",IF(AND('_motor'!$E$616&lt;'_motor'!$B$669,'_motor'!$F$616&gt;='_motor'!$B$669),"3 · Resultado","4 · Excluida / autónoma")))))</f>
        <v/>
      </c>
      <c r="J36" s="19">
        <f>IF('_motor'!$B$616=0,"",IF(AND(ABS('_motor'!$E$616-'_motor'!$B$669)&lt;='_motor'!$B$677+0.000000001,ABS('_motor'!$F$616-'_motor'!$B$669)&lt;='_motor'!$B$677+0.000000001),"Reguladora",IF(AND('_motor'!$E$616&gt;='_motor'!$B$669,'_motor'!$F$616&lt;0.5*'_motor'!$B$669),"Determinante / entorno",IF(AND('_motor'!$E$616&gt;='_motor'!$B$669,'_motor'!$F$616&lt;'_motor'!$B$669),"Palanca secundaria",IF(AND('_motor'!$E$616&gt;='_motor'!$B$669,'_motor'!$F$616&gt;='_motor'!$B$669),"Clave / de enlace",IF(AND('_motor'!$F$616&gt;='_motor'!$B$669,'_motor'!$E$616&gt;=0.5*'_motor'!$B$669),"Objetivo",IF('_motor'!$F$616&gt;='_motor'!$B$669,"Resultado","Autónoma")))))))</f>
        <v/>
      </c>
      <c r="K36" s="19">
        <f>IF('_motor'!$B$616=0,"",'_motor'!$M$616-'_motor'!$O$616)</f>
        <v/>
      </c>
      <c r="L36" s="19">
        <f>IF('_motor'!$B$616=0,"",IF('_motor'!$O$616&lt;'_motor'!$M$616-2,"▲ VARIABLE OCULTA (sube "&amp;TEXT('_motor'!$M$616-'_motor'!$O$616,"0")&amp;" puestos)",IF('_motor'!$O$616&gt;'_motor'!$M$616+2,"▼ Sobrevalorada en directo (baja "&amp;TEXT('_motor'!$O$616-'_motor'!$M$616,"0")&amp;")","= Estable")))</f>
        <v/>
      </c>
    </row>
    <row r="37" spans="1:12" x14ac:dyDescent="0.2">
      <c r="A37" s="21">
        <f>IF('_motor'!$B$617=0,"",'02 · Variables'!$B$38)</f>
        <v/>
      </c>
      <c r="B37" s="19">
        <f>IF('_motor'!$B$617=0,"",'02 · Variables'!$C$38)</f>
        <v/>
      </c>
      <c r="C37" s="38">
        <f>IF('_motor'!$B$617=0,"",'_motor'!$E$617)</f>
        <v/>
      </c>
      <c r="D37" s="38">
        <f>IF('_motor'!$B$617=0,"",'_motor'!$F$617)</f>
        <v/>
      </c>
      <c r="E37" s="33">
        <f>IF(OR('_motor'!$B$617=0,'_motor'!$B$673=0),"",'_motor'!$E$617/'_motor'!$B$673)</f>
        <v/>
      </c>
      <c r="F37" s="33">
        <f>IF(OR('_motor'!$B$617=0,'_motor'!$B$673=0),"",'_motor'!$F$617/'_motor'!$B$673)</f>
        <v/>
      </c>
      <c r="G37" s="22">
        <f>IF('_motor'!$B$617=0,"",SUMPRODUCT('_motor'!$B$586:$B$665*('_motor'!$E$586:$E$665&gt;'_motor'!$E$617))+(SUMPRODUCT('_motor'!$B$586:$B$665*('_motor'!$E$586:$E$665='_motor'!$E$617))+1)/2)</f>
        <v/>
      </c>
      <c r="H37" s="22">
        <f>IF('_motor'!$B$617=0,"",SUMPRODUCT('_motor'!$B$586:$B$665*('_motor'!$F$586:$F$665&gt;'_motor'!$F$617))+(SUMPRODUCT('_motor'!$B$586:$B$665*('_motor'!$F$586:$F$665='_motor'!$F$617))+1)/2)</f>
        <v/>
      </c>
      <c r="I37" s="19">
        <f>IF('_motor'!$B$617=0,"",IF(AND(ABS('_motor'!$E$617-'_motor'!$B$669)&lt;='_motor'!$B$677+0.000000001,ABS('_motor'!$F$617-'_motor'!$B$669)&lt;='_motor'!$B$677+0.000000001),"5 · Pelotón (no concluyente)",IF(AND('_motor'!$E$617&gt;='_motor'!$B$669,'_motor'!$F$617&lt;'_motor'!$B$669),"1 · Entrada / determinante",IF(AND('_motor'!$E$617&gt;='_motor'!$B$669,'_motor'!$F$617&gt;='_motor'!$B$669),"2 · Intermedia / de enlace",IF(AND('_motor'!$E$617&lt;'_motor'!$B$669,'_motor'!$F$617&gt;='_motor'!$B$669),"3 · Resultado","4 · Excluida / autónoma")))))</f>
        <v/>
      </c>
      <c r="J37" s="19">
        <f>IF('_motor'!$B$617=0,"",IF(AND(ABS('_motor'!$E$617-'_motor'!$B$669)&lt;='_motor'!$B$677+0.000000001,ABS('_motor'!$F$617-'_motor'!$B$669)&lt;='_motor'!$B$677+0.000000001),"Reguladora",IF(AND('_motor'!$E$617&gt;='_motor'!$B$669,'_motor'!$F$617&lt;0.5*'_motor'!$B$669),"Determinante / entorno",IF(AND('_motor'!$E$617&gt;='_motor'!$B$669,'_motor'!$F$617&lt;'_motor'!$B$669),"Palanca secundaria",IF(AND('_motor'!$E$617&gt;='_motor'!$B$669,'_motor'!$F$617&gt;='_motor'!$B$669),"Clave / de enlace",IF(AND('_motor'!$F$617&gt;='_motor'!$B$669,'_motor'!$E$617&gt;=0.5*'_motor'!$B$669),"Objetivo",IF('_motor'!$F$617&gt;='_motor'!$B$669,"Resultado","Autónoma")))))))</f>
        <v/>
      </c>
      <c r="K37" s="19">
        <f>IF('_motor'!$B$617=0,"",'_motor'!$M$617-'_motor'!$O$617)</f>
        <v/>
      </c>
      <c r="L37" s="19">
        <f>IF('_motor'!$B$617=0,"",IF('_motor'!$O$617&lt;'_motor'!$M$617-2,"▲ VARIABLE OCULTA (sube "&amp;TEXT('_motor'!$M$617-'_motor'!$O$617,"0")&amp;" puestos)",IF('_motor'!$O$617&gt;'_motor'!$M$617+2,"▼ Sobrevalorada en directo (baja "&amp;TEXT('_motor'!$O$617-'_motor'!$M$617,"0")&amp;")","= Estable")))</f>
        <v/>
      </c>
    </row>
    <row r="38" spans="1:12" x14ac:dyDescent="0.2">
      <c r="A38" s="21">
        <f>IF('_motor'!$B$618=0,"",'02 · Variables'!$B$39)</f>
        <v/>
      </c>
      <c r="B38" s="19">
        <f>IF('_motor'!$B$618=0,"",'02 · Variables'!$C$39)</f>
        <v/>
      </c>
      <c r="C38" s="38">
        <f>IF('_motor'!$B$618=0,"",'_motor'!$E$618)</f>
        <v/>
      </c>
      <c r="D38" s="38">
        <f>IF('_motor'!$B$618=0,"",'_motor'!$F$618)</f>
        <v/>
      </c>
      <c r="E38" s="33">
        <f>IF(OR('_motor'!$B$618=0,'_motor'!$B$673=0),"",'_motor'!$E$618/'_motor'!$B$673)</f>
        <v/>
      </c>
      <c r="F38" s="33">
        <f>IF(OR('_motor'!$B$618=0,'_motor'!$B$673=0),"",'_motor'!$F$618/'_motor'!$B$673)</f>
        <v/>
      </c>
      <c r="G38" s="22">
        <f>IF('_motor'!$B$618=0,"",SUMPRODUCT('_motor'!$B$586:$B$665*('_motor'!$E$586:$E$665&gt;'_motor'!$E$618))+(SUMPRODUCT('_motor'!$B$586:$B$665*('_motor'!$E$586:$E$665='_motor'!$E$618))+1)/2)</f>
        <v/>
      </c>
      <c r="H38" s="22">
        <f>IF('_motor'!$B$618=0,"",SUMPRODUCT('_motor'!$B$586:$B$665*('_motor'!$F$586:$F$665&gt;'_motor'!$F$618))+(SUMPRODUCT('_motor'!$B$586:$B$665*('_motor'!$F$586:$F$665='_motor'!$F$618))+1)/2)</f>
        <v/>
      </c>
      <c r="I38" s="19">
        <f>IF('_motor'!$B$618=0,"",IF(AND(ABS('_motor'!$E$618-'_motor'!$B$669)&lt;='_motor'!$B$677+0.000000001,ABS('_motor'!$F$618-'_motor'!$B$669)&lt;='_motor'!$B$677+0.000000001),"5 · Pelotón (no concluyente)",IF(AND('_motor'!$E$618&gt;='_motor'!$B$669,'_motor'!$F$618&lt;'_motor'!$B$669),"1 · Entrada / determinante",IF(AND('_motor'!$E$618&gt;='_motor'!$B$669,'_motor'!$F$618&gt;='_motor'!$B$669),"2 · Intermedia / de enlace",IF(AND('_motor'!$E$618&lt;'_motor'!$B$669,'_motor'!$F$618&gt;='_motor'!$B$669),"3 · Resultado","4 · Excluida / autónoma")))))</f>
        <v/>
      </c>
      <c r="J38" s="19">
        <f>IF('_motor'!$B$618=0,"",IF(AND(ABS('_motor'!$E$618-'_motor'!$B$669)&lt;='_motor'!$B$677+0.000000001,ABS('_motor'!$F$618-'_motor'!$B$669)&lt;='_motor'!$B$677+0.000000001),"Reguladora",IF(AND('_motor'!$E$618&gt;='_motor'!$B$669,'_motor'!$F$618&lt;0.5*'_motor'!$B$669),"Determinante / entorno",IF(AND('_motor'!$E$618&gt;='_motor'!$B$669,'_motor'!$F$618&lt;'_motor'!$B$669),"Palanca secundaria",IF(AND('_motor'!$E$618&gt;='_motor'!$B$669,'_motor'!$F$618&gt;='_motor'!$B$669),"Clave / de enlace",IF(AND('_motor'!$F$618&gt;='_motor'!$B$669,'_motor'!$E$618&gt;=0.5*'_motor'!$B$669),"Objetivo",IF('_motor'!$F$618&gt;='_motor'!$B$669,"Resultado","Autónoma")))))))</f>
        <v/>
      </c>
      <c r="K38" s="19">
        <f>IF('_motor'!$B$618=0,"",'_motor'!$M$618-'_motor'!$O$618)</f>
        <v/>
      </c>
      <c r="L38" s="19">
        <f>IF('_motor'!$B$618=0,"",IF('_motor'!$O$618&lt;'_motor'!$M$618-2,"▲ VARIABLE OCULTA (sube "&amp;TEXT('_motor'!$M$618-'_motor'!$O$618,"0")&amp;" puestos)",IF('_motor'!$O$618&gt;'_motor'!$M$618+2,"▼ Sobrevalorada en directo (baja "&amp;TEXT('_motor'!$O$618-'_motor'!$M$618,"0")&amp;")","= Estable")))</f>
        <v/>
      </c>
    </row>
    <row r="39" spans="1:12" x14ac:dyDescent="0.2">
      <c r="A39" s="21">
        <f>IF('_motor'!$B$619=0,"",'02 · Variables'!$B$40)</f>
        <v/>
      </c>
      <c r="B39" s="19">
        <f>IF('_motor'!$B$619=0,"",'02 · Variables'!$C$40)</f>
        <v/>
      </c>
      <c r="C39" s="38">
        <f>IF('_motor'!$B$619=0,"",'_motor'!$E$619)</f>
        <v/>
      </c>
      <c r="D39" s="38">
        <f>IF('_motor'!$B$619=0,"",'_motor'!$F$619)</f>
        <v/>
      </c>
      <c r="E39" s="33">
        <f>IF(OR('_motor'!$B$619=0,'_motor'!$B$673=0),"",'_motor'!$E$619/'_motor'!$B$673)</f>
        <v/>
      </c>
      <c r="F39" s="33">
        <f>IF(OR('_motor'!$B$619=0,'_motor'!$B$673=0),"",'_motor'!$F$619/'_motor'!$B$673)</f>
        <v/>
      </c>
      <c r="G39" s="22">
        <f>IF('_motor'!$B$619=0,"",SUMPRODUCT('_motor'!$B$586:$B$665*('_motor'!$E$586:$E$665&gt;'_motor'!$E$619))+(SUMPRODUCT('_motor'!$B$586:$B$665*('_motor'!$E$586:$E$665='_motor'!$E$619))+1)/2)</f>
        <v/>
      </c>
      <c r="H39" s="22">
        <f>IF('_motor'!$B$619=0,"",SUMPRODUCT('_motor'!$B$586:$B$665*('_motor'!$F$586:$F$665&gt;'_motor'!$F$619))+(SUMPRODUCT('_motor'!$B$586:$B$665*('_motor'!$F$586:$F$665='_motor'!$F$619))+1)/2)</f>
        <v/>
      </c>
      <c r="I39" s="19">
        <f>IF('_motor'!$B$619=0,"",IF(AND(ABS('_motor'!$E$619-'_motor'!$B$669)&lt;='_motor'!$B$677+0.000000001,ABS('_motor'!$F$619-'_motor'!$B$669)&lt;='_motor'!$B$677+0.000000001),"5 · Pelotón (no concluyente)",IF(AND('_motor'!$E$619&gt;='_motor'!$B$669,'_motor'!$F$619&lt;'_motor'!$B$669),"1 · Entrada / determinante",IF(AND('_motor'!$E$619&gt;='_motor'!$B$669,'_motor'!$F$619&gt;='_motor'!$B$669),"2 · Intermedia / de enlace",IF(AND('_motor'!$E$619&lt;'_motor'!$B$669,'_motor'!$F$619&gt;='_motor'!$B$669),"3 · Resultado","4 · Excluida / autónoma")))))</f>
        <v/>
      </c>
      <c r="J39" s="19">
        <f>IF('_motor'!$B$619=0,"",IF(AND(ABS('_motor'!$E$619-'_motor'!$B$669)&lt;='_motor'!$B$677+0.000000001,ABS('_motor'!$F$619-'_motor'!$B$669)&lt;='_motor'!$B$677+0.000000001),"Reguladora",IF(AND('_motor'!$E$619&gt;='_motor'!$B$669,'_motor'!$F$619&lt;0.5*'_motor'!$B$669),"Determinante / entorno",IF(AND('_motor'!$E$619&gt;='_motor'!$B$669,'_motor'!$F$619&lt;'_motor'!$B$669),"Palanca secundaria",IF(AND('_motor'!$E$619&gt;='_motor'!$B$669,'_motor'!$F$619&gt;='_motor'!$B$669),"Clave / de enlace",IF(AND('_motor'!$F$619&gt;='_motor'!$B$669,'_motor'!$E$619&gt;=0.5*'_motor'!$B$669),"Objetivo",IF('_motor'!$F$619&gt;='_motor'!$B$669,"Resultado","Autónoma")))))))</f>
        <v/>
      </c>
      <c r="K39" s="19">
        <f>IF('_motor'!$B$619=0,"",'_motor'!$M$619-'_motor'!$O$619)</f>
        <v/>
      </c>
      <c r="L39" s="19">
        <f>IF('_motor'!$B$619=0,"",IF('_motor'!$O$619&lt;'_motor'!$M$619-2,"▲ VARIABLE OCULTA (sube "&amp;TEXT('_motor'!$M$619-'_motor'!$O$619,"0")&amp;" puestos)",IF('_motor'!$O$619&gt;'_motor'!$M$619+2,"▼ Sobrevalorada en directo (baja "&amp;TEXT('_motor'!$O$619-'_motor'!$M$619,"0")&amp;")","= Estable")))</f>
        <v/>
      </c>
    </row>
    <row r="40" spans="1:12" x14ac:dyDescent="0.2">
      <c r="A40" s="21">
        <f>IF('_motor'!$B$620=0,"",'02 · Variables'!$B$41)</f>
        <v/>
      </c>
      <c r="B40" s="19">
        <f>IF('_motor'!$B$620=0,"",'02 · Variables'!$C$41)</f>
        <v/>
      </c>
      <c r="C40" s="38">
        <f>IF('_motor'!$B$620=0,"",'_motor'!$E$620)</f>
        <v/>
      </c>
      <c r="D40" s="38">
        <f>IF('_motor'!$B$620=0,"",'_motor'!$F$620)</f>
        <v/>
      </c>
      <c r="E40" s="33">
        <f>IF(OR('_motor'!$B$620=0,'_motor'!$B$673=0),"",'_motor'!$E$620/'_motor'!$B$673)</f>
        <v/>
      </c>
      <c r="F40" s="33">
        <f>IF(OR('_motor'!$B$620=0,'_motor'!$B$673=0),"",'_motor'!$F$620/'_motor'!$B$673)</f>
        <v/>
      </c>
      <c r="G40" s="22">
        <f>IF('_motor'!$B$620=0,"",SUMPRODUCT('_motor'!$B$586:$B$665*('_motor'!$E$586:$E$665&gt;'_motor'!$E$620))+(SUMPRODUCT('_motor'!$B$586:$B$665*('_motor'!$E$586:$E$665='_motor'!$E$620))+1)/2)</f>
        <v/>
      </c>
      <c r="H40" s="22">
        <f>IF('_motor'!$B$620=0,"",SUMPRODUCT('_motor'!$B$586:$B$665*('_motor'!$F$586:$F$665&gt;'_motor'!$F$620))+(SUMPRODUCT('_motor'!$B$586:$B$665*('_motor'!$F$586:$F$665='_motor'!$F$620))+1)/2)</f>
        <v/>
      </c>
      <c r="I40" s="19">
        <f>IF('_motor'!$B$620=0,"",IF(AND(ABS('_motor'!$E$620-'_motor'!$B$669)&lt;='_motor'!$B$677+0.000000001,ABS('_motor'!$F$620-'_motor'!$B$669)&lt;='_motor'!$B$677+0.000000001),"5 · Pelotón (no concluyente)",IF(AND('_motor'!$E$620&gt;='_motor'!$B$669,'_motor'!$F$620&lt;'_motor'!$B$669),"1 · Entrada / determinante",IF(AND('_motor'!$E$620&gt;='_motor'!$B$669,'_motor'!$F$620&gt;='_motor'!$B$669),"2 · Intermedia / de enlace",IF(AND('_motor'!$E$620&lt;'_motor'!$B$669,'_motor'!$F$620&gt;='_motor'!$B$669),"3 · Resultado","4 · Excluida / autónoma")))))</f>
        <v/>
      </c>
      <c r="J40" s="19">
        <f>IF('_motor'!$B$620=0,"",IF(AND(ABS('_motor'!$E$620-'_motor'!$B$669)&lt;='_motor'!$B$677+0.000000001,ABS('_motor'!$F$620-'_motor'!$B$669)&lt;='_motor'!$B$677+0.000000001),"Reguladora",IF(AND('_motor'!$E$620&gt;='_motor'!$B$669,'_motor'!$F$620&lt;0.5*'_motor'!$B$669),"Determinante / entorno",IF(AND('_motor'!$E$620&gt;='_motor'!$B$669,'_motor'!$F$620&lt;'_motor'!$B$669),"Palanca secundaria",IF(AND('_motor'!$E$620&gt;='_motor'!$B$669,'_motor'!$F$620&gt;='_motor'!$B$669),"Clave / de enlace",IF(AND('_motor'!$F$620&gt;='_motor'!$B$669,'_motor'!$E$620&gt;=0.5*'_motor'!$B$669),"Objetivo",IF('_motor'!$F$620&gt;='_motor'!$B$669,"Resultado","Autónoma")))))))</f>
        <v/>
      </c>
      <c r="K40" s="19">
        <f>IF('_motor'!$B$620=0,"",'_motor'!$M$620-'_motor'!$O$620)</f>
        <v/>
      </c>
      <c r="L40" s="19">
        <f>IF('_motor'!$B$620=0,"",IF('_motor'!$O$620&lt;'_motor'!$M$620-2,"▲ VARIABLE OCULTA (sube "&amp;TEXT('_motor'!$M$620-'_motor'!$O$620,"0")&amp;" puestos)",IF('_motor'!$O$620&gt;'_motor'!$M$620+2,"▼ Sobrevalorada en directo (baja "&amp;TEXT('_motor'!$O$620-'_motor'!$M$620,"0")&amp;")","= Estable")))</f>
        <v/>
      </c>
    </row>
    <row r="41" spans="1:12" x14ac:dyDescent="0.2">
      <c r="A41" s="21">
        <f>IF('_motor'!$B$621=0,"",'02 · Variables'!$B$42)</f>
        <v/>
      </c>
      <c r="B41" s="19">
        <f>IF('_motor'!$B$621=0,"",'02 · Variables'!$C$42)</f>
        <v/>
      </c>
      <c r="C41" s="38">
        <f>IF('_motor'!$B$621=0,"",'_motor'!$E$621)</f>
        <v/>
      </c>
      <c r="D41" s="38">
        <f>IF('_motor'!$B$621=0,"",'_motor'!$F$621)</f>
        <v/>
      </c>
      <c r="E41" s="33">
        <f>IF(OR('_motor'!$B$621=0,'_motor'!$B$673=0),"",'_motor'!$E$621/'_motor'!$B$673)</f>
        <v/>
      </c>
      <c r="F41" s="33">
        <f>IF(OR('_motor'!$B$621=0,'_motor'!$B$673=0),"",'_motor'!$F$621/'_motor'!$B$673)</f>
        <v/>
      </c>
      <c r="G41" s="22">
        <f>IF('_motor'!$B$621=0,"",SUMPRODUCT('_motor'!$B$586:$B$665*('_motor'!$E$586:$E$665&gt;'_motor'!$E$621))+(SUMPRODUCT('_motor'!$B$586:$B$665*('_motor'!$E$586:$E$665='_motor'!$E$621))+1)/2)</f>
        <v/>
      </c>
      <c r="H41" s="22">
        <f>IF('_motor'!$B$621=0,"",SUMPRODUCT('_motor'!$B$586:$B$665*('_motor'!$F$586:$F$665&gt;'_motor'!$F$621))+(SUMPRODUCT('_motor'!$B$586:$B$665*('_motor'!$F$586:$F$665='_motor'!$F$621))+1)/2)</f>
        <v/>
      </c>
      <c r="I41" s="19">
        <f>IF('_motor'!$B$621=0,"",IF(AND(ABS('_motor'!$E$621-'_motor'!$B$669)&lt;='_motor'!$B$677+0.000000001,ABS('_motor'!$F$621-'_motor'!$B$669)&lt;='_motor'!$B$677+0.000000001),"5 · Pelotón (no concluyente)",IF(AND('_motor'!$E$621&gt;='_motor'!$B$669,'_motor'!$F$621&lt;'_motor'!$B$669),"1 · Entrada / determinante",IF(AND('_motor'!$E$621&gt;='_motor'!$B$669,'_motor'!$F$621&gt;='_motor'!$B$669),"2 · Intermedia / de enlace",IF(AND('_motor'!$E$621&lt;'_motor'!$B$669,'_motor'!$F$621&gt;='_motor'!$B$669),"3 · Resultado","4 · Excluida / autónoma")))))</f>
        <v/>
      </c>
      <c r="J41" s="19">
        <f>IF('_motor'!$B$621=0,"",IF(AND(ABS('_motor'!$E$621-'_motor'!$B$669)&lt;='_motor'!$B$677+0.000000001,ABS('_motor'!$F$621-'_motor'!$B$669)&lt;='_motor'!$B$677+0.000000001),"Reguladora",IF(AND('_motor'!$E$621&gt;='_motor'!$B$669,'_motor'!$F$621&lt;0.5*'_motor'!$B$669),"Determinante / entorno",IF(AND('_motor'!$E$621&gt;='_motor'!$B$669,'_motor'!$F$621&lt;'_motor'!$B$669),"Palanca secundaria",IF(AND('_motor'!$E$621&gt;='_motor'!$B$669,'_motor'!$F$621&gt;='_motor'!$B$669),"Clave / de enlace",IF(AND('_motor'!$F$621&gt;='_motor'!$B$669,'_motor'!$E$621&gt;=0.5*'_motor'!$B$669),"Objetivo",IF('_motor'!$F$621&gt;='_motor'!$B$669,"Resultado","Autónoma")))))))</f>
        <v/>
      </c>
      <c r="K41" s="19">
        <f>IF('_motor'!$B$621=0,"",'_motor'!$M$621-'_motor'!$O$621)</f>
        <v/>
      </c>
      <c r="L41" s="19">
        <f>IF('_motor'!$B$621=0,"",IF('_motor'!$O$621&lt;'_motor'!$M$621-2,"▲ VARIABLE OCULTA (sube "&amp;TEXT('_motor'!$M$621-'_motor'!$O$621,"0")&amp;" puestos)",IF('_motor'!$O$621&gt;'_motor'!$M$621+2,"▼ Sobrevalorada en directo (baja "&amp;TEXT('_motor'!$O$621-'_motor'!$M$621,"0")&amp;")","= Estable")))</f>
        <v/>
      </c>
    </row>
    <row r="42" spans="1:12" x14ac:dyDescent="0.2">
      <c r="A42" s="21">
        <f>IF('_motor'!$B$622=0,"",'02 · Variables'!$B$43)</f>
        <v/>
      </c>
      <c r="B42" s="19">
        <f>IF('_motor'!$B$622=0,"",'02 · Variables'!$C$43)</f>
        <v/>
      </c>
      <c r="C42" s="38">
        <f>IF('_motor'!$B$622=0,"",'_motor'!$E$622)</f>
        <v/>
      </c>
      <c r="D42" s="38">
        <f>IF('_motor'!$B$622=0,"",'_motor'!$F$622)</f>
        <v/>
      </c>
      <c r="E42" s="33">
        <f>IF(OR('_motor'!$B$622=0,'_motor'!$B$673=0),"",'_motor'!$E$622/'_motor'!$B$673)</f>
        <v/>
      </c>
      <c r="F42" s="33">
        <f>IF(OR('_motor'!$B$622=0,'_motor'!$B$673=0),"",'_motor'!$F$622/'_motor'!$B$673)</f>
        <v/>
      </c>
      <c r="G42" s="22">
        <f>IF('_motor'!$B$622=0,"",SUMPRODUCT('_motor'!$B$586:$B$665*('_motor'!$E$586:$E$665&gt;'_motor'!$E$622))+(SUMPRODUCT('_motor'!$B$586:$B$665*('_motor'!$E$586:$E$665='_motor'!$E$622))+1)/2)</f>
        <v/>
      </c>
      <c r="H42" s="22">
        <f>IF('_motor'!$B$622=0,"",SUMPRODUCT('_motor'!$B$586:$B$665*('_motor'!$F$586:$F$665&gt;'_motor'!$F$622))+(SUMPRODUCT('_motor'!$B$586:$B$665*('_motor'!$F$586:$F$665='_motor'!$F$622))+1)/2)</f>
        <v/>
      </c>
      <c r="I42" s="19">
        <f>IF('_motor'!$B$622=0,"",IF(AND(ABS('_motor'!$E$622-'_motor'!$B$669)&lt;='_motor'!$B$677+0.000000001,ABS('_motor'!$F$622-'_motor'!$B$669)&lt;='_motor'!$B$677+0.000000001),"5 · Pelotón (no concluyente)",IF(AND('_motor'!$E$622&gt;='_motor'!$B$669,'_motor'!$F$622&lt;'_motor'!$B$669),"1 · Entrada / determinante",IF(AND('_motor'!$E$622&gt;='_motor'!$B$669,'_motor'!$F$622&gt;='_motor'!$B$669),"2 · Intermedia / de enlace",IF(AND('_motor'!$E$622&lt;'_motor'!$B$669,'_motor'!$F$622&gt;='_motor'!$B$669),"3 · Resultado","4 · Excluida / autónoma")))))</f>
        <v/>
      </c>
      <c r="J42" s="19">
        <f>IF('_motor'!$B$622=0,"",IF(AND(ABS('_motor'!$E$622-'_motor'!$B$669)&lt;='_motor'!$B$677+0.000000001,ABS('_motor'!$F$622-'_motor'!$B$669)&lt;='_motor'!$B$677+0.000000001),"Reguladora",IF(AND('_motor'!$E$622&gt;='_motor'!$B$669,'_motor'!$F$622&lt;0.5*'_motor'!$B$669),"Determinante / entorno",IF(AND('_motor'!$E$622&gt;='_motor'!$B$669,'_motor'!$F$622&lt;'_motor'!$B$669),"Palanca secundaria",IF(AND('_motor'!$E$622&gt;='_motor'!$B$669,'_motor'!$F$622&gt;='_motor'!$B$669),"Clave / de enlace",IF(AND('_motor'!$F$622&gt;='_motor'!$B$669,'_motor'!$E$622&gt;=0.5*'_motor'!$B$669),"Objetivo",IF('_motor'!$F$622&gt;='_motor'!$B$669,"Resultado","Autónoma")))))))</f>
        <v/>
      </c>
      <c r="K42" s="19">
        <f>IF('_motor'!$B$622=0,"",'_motor'!$M$622-'_motor'!$O$622)</f>
        <v/>
      </c>
      <c r="L42" s="19">
        <f>IF('_motor'!$B$622=0,"",IF('_motor'!$O$622&lt;'_motor'!$M$622-2,"▲ VARIABLE OCULTA (sube "&amp;TEXT('_motor'!$M$622-'_motor'!$O$622,"0")&amp;" puestos)",IF('_motor'!$O$622&gt;'_motor'!$M$622+2,"▼ Sobrevalorada en directo (baja "&amp;TEXT('_motor'!$O$622-'_motor'!$M$622,"0")&amp;")","= Estable")))</f>
        <v/>
      </c>
    </row>
    <row r="43" spans="1:12" x14ac:dyDescent="0.2">
      <c r="A43" s="21">
        <f>IF('_motor'!$B$623=0,"",'02 · Variables'!$B$44)</f>
        <v/>
      </c>
      <c r="B43" s="19">
        <f>IF('_motor'!$B$623=0,"",'02 · Variables'!$C$44)</f>
        <v/>
      </c>
      <c r="C43" s="38">
        <f>IF('_motor'!$B$623=0,"",'_motor'!$E$623)</f>
        <v/>
      </c>
      <c r="D43" s="38">
        <f>IF('_motor'!$B$623=0,"",'_motor'!$F$623)</f>
        <v/>
      </c>
      <c r="E43" s="33">
        <f>IF(OR('_motor'!$B$623=0,'_motor'!$B$673=0),"",'_motor'!$E$623/'_motor'!$B$673)</f>
        <v/>
      </c>
      <c r="F43" s="33">
        <f>IF(OR('_motor'!$B$623=0,'_motor'!$B$673=0),"",'_motor'!$F$623/'_motor'!$B$673)</f>
        <v/>
      </c>
      <c r="G43" s="22">
        <f>IF('_motor'!$B$623=0,"",SUMPRODUCT('_motor'!$B$586:$B$665*('_motor'!$E$586:$E$665&gt;'_motor'!$E$623))+(SUMPRODUCT('_motor'!$B$586:$B$665*('_motor'!$E$586:$E$665='_motor'!$E$623))+1)/2)</f>
        <v/>
      </c>
      <c r="H43" s="22">
        <f>IF('_motor'!$B$623=0,"",SUMPRODUCT('_motor'!$B$586:$B$665*('_motor'!$F$586:$F$665&gt;'_motor'!$F$623))+(SUMPRODUCT('_motor'!$B$586:$B$665*('_motor'!$F$586:$F$665='_motor'!$F$623))+1)/2)</f>
        <v/>
      </c>
      <c r="I43" s="19">
        <f>IF('_motor'!$B$623=0,"",IF(AND(ABS('_motor'!$E$623-'_motor'!$B$669)&lt;='_motor'!$B$677+0.000000001,ABS('_motor'!$F$623-'_motor'!$B$669)&lt;='_motor'!$B$677+0.000000001),"5 · Pelotón (no concluyente)",IF(AND('_motor'!$E$623&gt;='_motor'!$B$669,'_motor'!$F$623&lt;'_motor'!$B$669),"1 · Entrada / determinante",IF(AND('_motor'!$E$623&gt;='_motor'!$B$669,'_motor'!$F$623&gt;='_motor'!$B$669),"2 · Intermedia / de enlace",IF(AND('_motor'!$E$623&lt;'_motor'!$B$669,'_motor'!$F$623&gt;='_motor'!$B$669),"3 · Resultado","4 · Excluida / autónoma")))))</f>
        <v/>
      </c>
      <c r="J43" s="19">
        <f>IF('_motor'!$B$623=0,"",IF(AND(ABS('_motor'!$E$623-'_motor'!$B$669)&lt;='_motor'!$B$677+0.000000001,ABS('_motor'!$F$623-'_motor'!$B$669)&lt;='_motor'!$B$677+0.000000001),"Reguladora",IF(AND('_motor'!$E$623&gt;='_motor'!$B$669,'_motor'!$F$623&lt;0.5*'_motor'!$B$669),"Determinante / entorno",IF(AND('_motor'!$E$623&gt;='_motor'!$B$669,'_motor'!$F$623&lt;'_motor'!$B$669),"Palanca secundaria",IF(AND('_motor'!$E$623&gt;='_motor'!$B$669,'_motor'!$F$623&gt;='_motor'!$B$669),"Clave / de enlace",IF(AND('_motor'!$F$623&gt;='_motor'!$B$669,'_motor'!$E$623&gt;=0.5*'_motor'!$B$669),"Objetivo",IF('_motor'!$F$623&gt;='_motor'!$B$669,"Resultado","Autónoma")))))))</f>
        <v/>
      </c>
      <c r="K43" s="19">
        <f>IF('_motor'!$B$623=0,"",'_motor'!$M$623-'_motor'!$O$623)</f>
        <v/>
      </c>
      <c r="L43" s="19">
        <f>IF('_motor'!$B$623=0,"",IF('_motor'!$O$623&lt;'_motor'!$M$623-2,"▲ VARIABLE OCULTA (sube "&amp;TEXT('_motor'!$M$623-'_motor'!$O$623,"0")&amp;" puestos)",IF('_motor'!$O$623&gt;'_motor'!$M$623+2,"▼ Sobrevalorada en directo (baja "&amp;TEXT('_motor'!$O$623-'_motor'!$M$623,"0")&amp;")","= Estable")))</f>
        <v/>
      </c>
    </row>
    <row r="44" spans="1:12" x14ac:dyDescent="0.2">
      <c r="A44" s="21">
        <f>IF('_motor'!$B$624=0,"",'02 · Variables'!$B$45)</f>
        <v/>
      </c>
      <c r="B44" s="19">
        <f>IF('_motor'!$B$624=0,"",'02 · Variables'!$C$45)</f>
        <v/>
      </c>
      <c r="C44" s="38">
        <f>IF('_motor'!$B$624=0,"",'_motor'!$E$624)</f>
        <v/>
      </c>
      <c r="D44" s="38">
        <f>IF('_motor'!$B$624=0,"",'_motor'!$F$624)</f>
        <v/>
      </c>
      <c r="E44" s="33">
        <f>IF(OR('_motor'!$B$624=0,'_motor'!$B$673=0),"",'_motor'!$E$624/'_motor'!$B$673)</f>
        <v/>
      </c>
      <c r="F44" s="33">
        <f>IF(OR('_motor'!$B$624=0,'_motor'!$B$673=0),"",'_motor'!$F$624/'_motor'!$B$673)</f>
        <v/>
      </c>
      <c r="G44" s="22">
        <f>IF('_motor'!$B$624=0,"",SUMPRODUCT('_motor'!$B$586:$B$665*('_motor'!$E$586:$E$665&gt;'_motor'!$E$624))+(SUMPRODUCT('_motor'!$B$586:$B$665*('_motor'!$E$586:$E$665='_motor'!$E$624))+1)/2)</f>
        <v/>
      </c>
      <c r="H44" s="22">
        <f>IF('_motor'!$B$624=0,"",SUMPRODUCT('_motor'!$B$586:$B$665*('_motor'!$F$586:$F$665&gt;'_motor'!$F$624))+(SUMPRODUCT('_motor'!$B$586:$B$665*('_motor'!$F$586:$F$665='_motor'!$F$624))+1)/2)</f>
        <v/>
      </c>
      <c r="I44" s="19">
        <f>IF('_motor'!$B$624=0,"",IF(AND(ABS('_motor'!$E$624-'_motor'!$B$669)&lt;='_motor'!$B$677+0.000000001,ABS('_motor'!$F$624-'_motor'!$B$669)&lt;='_motor'!$B$677+0.000000001),"5 · Pelotón (no concluyente)",IF(AND('_motor'!$E$624&gt;='_motor'!$B$669,'_motor'!$F$624&lt;'_motor'!$B$669),"1 · Entrada / determinante",IF(AND('_motor'!$E$624&gt;='_motor'!$B$669,'_motor'!$F$624&gt;='_motor'!$B$669),"2 · Intermedia / de enlace",IF(AND('_motor'!$E$624&lt;'_motor'!$B$669,'_motor'!$F$624&gt;='_motor'!$B$669),"3 · Resultado","4 · Excluida / autónoma")))))</f>
        <v/>
      </c>
      <c r="J44" s="19">
        <f>IF('_motor'!$B$624=0,"",IF(AND(ABS('_motor'!$E$624-'_motor'!$B$669)&lt;='_motor'!$B$677+0.000000001,ABS('_motor'!$F$624-'_motor'!$B$669)&lt;='_motor'!$B$677+0.000000001),"Reguladora",IF(AND('_motor'!$E$624&gt;='_motor'!$B$669,'_motor'!$F$624&lt;0.5*'_motor'!$B$669),"Determinante / entorno",IF(AND('_motor'!$E$624&gt;='_motor'!$B$669,'_motor'!$F$624&lt;'_motor'!$B$669),"Palanca secundaria",IF(AND('_motor'!$E$624&gt;='_motor'!$B$669,'_motor'!$F$624&gt;='_motor'!$B$669),"Clave / de enlace",IF(AND('_motor'!$F$624&gt;='_motor'!$B$669,'_motor'!$E$624&gt;=0.5*'_motor'!$B$669),"Objetivo",IF('_motor'!$F$624&gt;='_motor'!$B$669,"Resultado","Autónoma")))))))</f>
        <v/>
      </c>
      <c r="K44" s="19">
        <f>IF('_motor'!$B$624=0,"",'_motor'!$M$624-'_motor'!$O$624)</f>
        <v/>
      </c>
      <c r="L44" s="19">
        <f>IF('_motor'!$B$624=0,"",IF('_motor'!$O$624&lt;'_motor'!$M$624-2,"▲ VARIABLE OCULTA (sube "&amp;TEXT('_motor'!$M$624-'_motor'!$O$624,"0")&amp;" puestos)",IF('_motor'!$O$624&gt;'_motor'!$M$624+2,"▼ Sobrevalorada en directo (baja "&amp;TEXT('_motor'!$O$624-'_motor'!$M$624,"0")&amp;")","= Estable")))</f>
        <v/>
      </c>
    </row>
    <row r="45" spans="1:12" x14ac:dyDescent="0.2">
      <c r="A45" s="21">
        <f>IF('_motor'!$B$625=0,"",'02 · Variables'!$B$46)</f>
        <v/>
      </c>
      <c r="B45" s="19">
        <f>IF('_motor'!$B$625=0,"",'02 · Variables'!$C$46)</f>
        <v/>
      </c>
      <c r="C45" s="38">
        <f>IF('_motor'!$B$625=0,"",'_motor'!$E$625)</f>
        <v/>
      </c>
      <c r="D45" s="38">
        <f>IF('_motor'!$B$625=0,"",'_motor'!$F$625)</f>
        <v/>
      </c>
      <c r="E45" s="33">
        <f>IF(OR('_motor'!$B$625=0,'_motor'!$B$673=0),"",'_motor'!$E$625/'_motor'!$B$673)</f>
        <v/>
      </c>
      <c r="F45" s="33">
        <f>IF(OR('_motor'!$B$625=0,'_motor'!$B$673=0),"",'_motor'!$F$625/'_motor'!$B$673)</f>
        <v/>
      </c>
      <c r="G45" s="22">
        <f>IF('_motor'!$B$625=0,"",SUMPRODUCT('_motor'!$B$586:$B$665*('_motor'!$E$586:$E$665&gt;'_motor'!$E$625))+(SUMPRODUCT('_motor'!$B$586:$B$665*('_motor'!$E$586:$E$665='_motor'!$E$625))+1)/2)</f>
        <v/>
      </c>
      <c r="H45" s="22">
        <f>IF('_motor'!$B$625=0,"",SUMPRODUCT('_motor'!$B$586:$B$665*('_motor'!$F$586:$F$665&gt;'_motor'!$F$625))+(SUMPRODUCT('_motor'!$B$586:$B$665*('_motor'!$F$586:$F$665='_motor'!$F$625))+1)/2)</f>
        <v/>
      </c>
      <c r="I45" s="19">
        <f>IF('_motor'!$B$625=0,"",IF(AND(ABS('_motor'!$E$625-'_motor'!$B$669)&lt;='_motor'!$B$677+0.000000001,ABS('_motor'!$F$625-'_motor'!$B$669)&lt;='_motor'!$B$677+0.000000001),"5 · Pelotón (no concluyente)",IF(AND('_motor'!$E$625&gt;='_motor'!$B$669,'_motor'!$F$625&lt;'_motor'!$B$669),"1 · Entrada / determinante",IF(AND('_motor'!$E$625&gt;='_motor'!$B$669,'_motor'!$F$625&gt;='_motor'!$B$669),"2 · Intermedia / de enlace",IF(AND('_motor'!$E$625&lt;'_motor'!$B$669,'_motor'!$F$625&gt;='_motor'!$B$669),"3 · Resultado","4 · Excluida / autónoma")))))</f>
        <v/>
      </c>
      <c r="J45" s="19">
        <f>IF('_motor'!$B$625=0,"",IF(AND(ABS('_motor'!$E$625-'_motor'!$B$669)&lt;='_motor'!$B$677+0.000000001,ABS('_motor'!$F$625-'_motor'!$B$669)&lt;='_motor'!$B$677+0.000000001),"Reguladora",IF(AND('_motor'!$E$625&gt;='_motor'!$B$669,'_motor'!$F$625&lt;0.5*'_motor'!$B$669),"Determinante / entorno",IF(AND('_motor'!$E$625&gt;='_motor'!$B$669,'_motor'!$F$625&lt;'_motor'!$B$669),"Palanca secundaria",IF(AND('_motor'!$E$625&gt;='_motor'!$B$669,'_motor'!$F$625&gt;='_motor'!$B$669),"Clave / de enlace",IF(AND('_motor'!$F$625&gt;='_motor'!$B$669,'_motor'!$E$625&gt;=0.5*'_motor'!$B$669),"Objetivo",IF('_motor'!$F$625&gt;='_motor'!$B$669,"Resultado","Autónoma")))))))</f>
        <v/>
      </c>
      <c r="K45" s="19">
        <f>IF('_motor'!$B$625=0,"",'_motor'!$M$625-'_motor'!$O$625)</f>
        <v/>
      </c>
      <c r="L45" s="19">
        <f>IF('_motor'!$B$625=0,"",IF('_motor'!$O$625&lt;'_motor'!$M$625-2,"▲ VARIABLE OCULTA (sube "&amp;TEXT('_motor'!$M$625-'_motor'!$O$625,"0")&amp;" puestos)",IF('_motor'!$O$625&gt;'_motor'!$M$625+2,"▼ Sobrevalorada en directo (baja "&amp;TEXT('_motor'!$O$625-'_motor'!$M$625,"0")&amp;")","= Estable")))</f>
        <v/>
      </c>
    </row>
    <row r="46" spans="1:12" x14ac:dyDescent="0.2">
      <c r="A46" s="21">
        <f>IF('_motor'!$B$626=0,"",'02 · Variables'!$B$47)</f>
        <v/>
      </c>
      <c r="B46" s="19">
        <f>IF('_motor'!$B$626=0,"",'02 · Variables'!$C$47)</f>
        <v/>
      </c>
      <c r="C46" s="38">
        <f>IF('_motor'!$B$626=0,"",'_motor'!$E$626)</f>
        <v/>
      </c>
      <c r="D46" s="38">
        <f>IF('_motor'!$B$626=0,"",'_motor'!$F$626)</f>
        <v/>
      </c>
      <c r="E46" s="33">
        <f>IF(OR('_motor'!$B$626=0,'_motor'!$B$673=0),"",'_motor'!$E$626/'_motor'!$B$673)</f>
        <v/>
      </c>
      <c r="F46" s="33">
        <f>IF(OR('_motor'!$B$626=0,'_motor'!$B$673=0),"",'_motor'!$F$626/'_motor'!$B$673)</f>
        <v/>
      </c>
      <c r="G46" s="22">
        <f>IF('_motor'!$B$626=0,"",SUMPRODUCT('_motor'!$B$586:$B$665*('_motor'!$E$586:$E$665&gt;'_motor'!$E$626))+(SUMPRODUCT('_motor'!$B$586:$B$665*('_motor'!$E$586:$E$665='_motor'!$E$626))+1)/2)</f>
        <v/>
      </c>
      <c r="H46" s="22">
        <f>IF('_motor'!$B$626=0,"",SUMPRODUCT('_motor'!$B$586:$B$665*('_motor'!$F$586:$F$665&gt;'_motor'!$F$626))+(SUMPRODUCT('_motor'!$B$586:$B$665*('_motor'!$F$586:$F$665='_motor'!$F$626))+1)/2)</f>
        <v/>
      </c>
      <c r="I46" s="19">
        <f>IF('_motor'!$B$626=0,"",IF(AND(ABS('_motor'!$E$626-'_motor'!$B$669)&lt;='_motor'!$B$677+0.000000001,ABS('_motor'!$F$626-'_motor'!$B$669)&lt;='_motor'!$B$677+0.000000001),"5 · Pelotón (no concluyente)",IF(AND('_motor'!$E$626&gt;='_motor'!$B$669,'_motor'!$F$626&lt;'_motor'!$B$669),"1 · Entrada / determinante",IF(AND('_motor'!$E$626&gt;='_motor'!$B$669,'_motor'!$F$626&gt;='_motor'!$B$669),"2 · Intermedia / de enlace",IF(AND('_motor'!$E$626&lt;'_motor'!$B$669,'_motor'!$F$626&gt;='_motor'!$B$669),"3 · Resultado","4 · Excluida / autónoma")))))</f>
        <v/>
      </c>
      <c r="J46" s="19">
        <f>IF('_motor'!$B$626=0,"",IF(AND(ABS('_motor'!$E$626-'_motor'!$B$669)&lt;='_motor'!$B$677+0.000000001,ABS('_motor'!$F$626-'_motor'!$B$669)&lt;='_motor'!$B$677+0.000000001),"Reguladora",IF(AND('_motor'!$E$626&gt;='_motor'!$B$669,'_motor'!$F$626&lt;0.5*'_motor'!$B$669),"Determinante / entorno",IF(AND('_motor'!$E$626&gt;='_motor'!$B$669,'_motor'!$F$626&lt;'_motor'!$B$669),"Palanca secundaria",IF(AND('_motor'!$E$626&gt;='_motor'!$B$669,'_motor'!$F$626&gt;='_motor'!$B$669),"Clave / de enlace",IF(AND('_motor'!$F$626&gt;='_motor'!$B$669,'_motor'!$E$626&gt;=0.5*'_motor'!$B$669),"Objetivo",IF('_motor'!$F$626&gt;='_motor'!$B$669,"Resultado","Autónoma")))))))</f>
        <v/>
      </c>
      <c r="K46" s="19">
        <f>IF('_motor'!$B$626=0,"",'_motor'!$M$626-'_motor'!$O$626)</f>
        <v/>
      </c>
      <c r="L46" s="19">
        <f>IF('_motor'!$B$626=0,"",IF('_motor'!$O$626&lt;'_motor'!$M$626-2,"▲ VARIABLE OCULTA (sube "&amp;TEXT('_motor'!$M$626-'_motor'!$O$626,"0")&amp;" puestos)",IF('_motor'!$O$626&gt;'_motor'!$M$626+2,"▼ Sobrevalorada en directo (baja "&amp;TEXT('_motor'!$O$626-'_motor'!$M$626,"0")&amp;")","= Estable")))</f>
        <v/>
      </c>
    </row>
    <row r="47" spans="1:12" x14ac:dyDescent="0.2">
      <c r="A47" s="21">
        <f>IF('_motor'!$B$627=0,"",'02 · Variables'!$B$48)</f>
        <v/>
      </c>
      <c r="B47" s="19">
        <f>IF('_motor'!$B$627=0,"",'02 · Variables'!$C$48)</f>
        <v/>
      </c>
      <c r="C47" s="38">
        <f>IF('_motor'!$B$627=0,"",'_motor'!$E$627)</f>
        <v/>
      </c>
      <c r="D47" s="38">
        <f>IF('_motor'!$B$627=0,"",'_motor'!$F$627)</f>
        <v/>
      </c>
      <c r="E47" s="33">
        <f>IF(OR('_motor'!$B$627=0,'_motor'!$B$673=0),"",'_motor'!$E$627/'_motor'!$B$673)</f>
        <v/>
      </c>
      <c r="F47" s="33">
        <f>IF(OR('_motor'!$B$627=0,'_motor'!$B$673=0),"",'_motor'!$F$627/'_motor'!$B$673)</f>
        <v/>
      </c>
      <c r="G47" s="22">
        <f>IF('_motor'!$B$627=0,"",SUMPRODUCT('_motor'!$B$586:$B$665*('_motor'!$E$586:$E$665&gt;'_motor'!$E$627))+(SUMPRODUCT('_motor'!$B$586:$B$665*('_motor'!$E$586:$E$665='_motor'!$E$627))+1)/2)</f>
        <v/>
      </c>
      <c r="H47" s="22">
        <f>IF('_motor'!$B$627=0,"",SUMPRODUCT('_motor'!$B$586:$B$665*('_motor'!$F$586:$F$665&gt;'_motor'!$F$627))+(SUMPRODUCT('_motor'!$B$586:$B$665*('_motor'!$F$586:$F$665='_motor'!$F$627))+1)/2)</f>
        <v/>
      </c>
      <c r="I47" s="19">
        <f>IF('_motor'!$B$627=0,"",IF(AND(ABS('_motor'!$E$627-'_motor'!$B$669)&lt;='_motor'!$B$677+0.000000001,ABS('_motor'!$F$627-'_motor'!$B$669)&lt;='_motor'!$B$677+0.000000001),"5 · Pelotón (no concluyente)",IF(AND('_motor'!$E$627&gt;='_motor'!$B$669,'_motor'!$F$627&lt;'_motor'!$B$669),"1 · Entrada / determinante",IF(AND('_motor'!$E$627&gt;='_motor'!$B$669,'_motor'!$F$627&gt;='_motor'!$B$669),"2 · Intermedia / de enlace",IF(AND('_motor'!$E$627&lt;'_motor'!$B$669,'_motor'!$F$627&gt;='_motor'!$B$669),"3 · Resultado","4 · Excluida / autónoma")))))</f>
        <v/>
      </c>
      <c r="J47" s="19">
        <f>IF('_motor'!$B$627=0,"",IF(AND(ABS('_motor'!$E$627-'_motor'!$B$669)&lt;='_motor'!$B$677+0.000000001,ABS('_motor'!$F$627-'_motor'!$B$669)&lt;='_motor'!$B$677+0.000000001),"Reguladora",IF(AND('_motor'!$E$627&gt;='_motor'!$B$669,'_motor'!$F$627&lt;0.5*'_motor'!$B$669),"Determinante / entorno",IF(AND('_motor'!$E$627&gt;='_motor'!$B$669,'_motor'!$F$627&lt;'_motor'!$B$669),"Palanca secundaria",IF(AND('_motor'!$E$627&gt;='_motor'!$B$669,'_motor'!$F$627&gt;='_motor'!$B$669),"Clave / de enlace",IF(AND('_motor'!$F$627&gt;='_motor'!$B$669,'_motor'!$E$627&gt;=0.5*'_motor'!$B$669),"Objetivo",IF('_motor'!$F$627&gt;='_motor'!$B$669,"Resultado","Autónoma")))))))</f>
        <v/>
      </c>
      <c r="K47" s="19">
        <f>IF('_motor'!$B$627=0,"",'_motor'!$M$627-'_motor'!$O$627)</f>
        <v/>
      </c>
      <c r="L47" s="19">
        <f>IF('_motor'!$B$627=0,"",IF('_motor'!$O$627&lt;'_motor'!$M$627-2,"▲ VARIABLE OCULTA (sube "&amp;TEXT('_motor'!$M$627-'_motor'!$O$627,"0")&amp;" puestos)",IF('_motor'!$O$627&gt;'_motor'!$M$627+2,"▼ Sobrevalorada en directo (baja "&amp;TEXT('_motor'!$O$627-'_motor'!$M$627,"0")&amp;")","= Estable")))</f>
        <v/>
      </c>
    </row>
    <row r="48" spans="1:12" x14ac:dyDescent="0.2">
      <c r="A48" s="21">
        <f>IF('_motor'!$B$628=0,"",'02 · Variables'!$B$49)</f>
        <v/>
      </c>
      <c r="B48" s="19">
        <f>IF('_motor'!$B$628=0,"",'02 · Variables'!$C$49)</f>
        <v/>
      </c>
      <c r="C48" s="38">
        <f>IF('_motor'!$B$628=0,"",'_motor'!$E$628)</f>
        <v/>
      </c>
      <c r="D48" s="38">
        <f>IF('_motor'!$B$628=0,"",'_motor'!$F$628)</f>
        <v/>
      </c>
      <c r="E48" s="33">
        <f>IF(OR('_motor'!$B$628=0,'_motor'!$B$673=0),"",'_motor'!$E$628/'_motor'!$B$673)</f>
        <v/>
      </c>
      <c r="F48" s="33">
        <f>IF(OR('_motor'!$B$628=0,'_motor'!$B$673=0),"",'_motor'!$F$628/'_motor'!$B$673)</f>
        <v/>
      </c>
      <c r="G48" s="22">
        <f>IF('_motor'!$B$628=0,"",SUMPRODUCT('_motor'!$B$586:$B$665*('_motor'!$E$586:$E$665&gt;'_motor'!$E$628))+(SUMPRODUCT('_motor'!$B$586:$B$665*('_motor'!$E$586:$E$665='_motor'!$E$628))+1)/2)</f>
        <v/>
      </c>
      <c r="H48" s="22">
        <f>IF('_motor'!$B$628=0,"",SUMPRODUCT('_motor'!$B$586:$B$665*('_motor'!$F$586:$F$665&gt;'_motor'!$F$628))+(SUMPRODUCT('_motor'!$B$586:$B$665*('_motor'!$F$586:$F$665='_motor'!$F$628))+1)/2)</f>
        <v/>
      </c>
      <c r="I48" s="19">
        <f>IF('_motor'!$B$628=0,"",IF(AND(ABS('_motor'!$E$628-'_motor'!$B$669)&lt;='_motor'!$B$677+0.000000001,ABS('_motor'!$F$628-'_motor'!$B$669)&lt;='_motor'!$B$677+0.000000001),"5 · Pelotón (no concluyente)",IF(AND('_motor'!$E$628&gt;='_motor'!$B$669,'_motor'!$F$628&lt;'_motor'!$B$669),"1 · Entrada / determinante",IF(AND('_motor'!$E$628&gt;='_motor'!$B$669,'_motor'!$F$628&gt;='_motor'!$B$669),"2 · Intermedia / de enlace",IF(AND('_motor'!$E$628&lt;'_motor'!$B$669,'_motor'!$F$628&gt;='_motor'!$B$669),"3 · Resultado","4 · Excluida / autónoma")))))</f>
        <v/>
      </c>
      <c r="J48" s="19">
        <f>IF('_motor'!$B$628=0,"",IF(AND(ABS('_motor'!$E$628-'_motor'!$B$669)&lt;='_motor'!$B$677+0.000000001,ABS('_motor'!$F$628-'_motor'!$B$669)&lt;='_motor'!$B$677+0.000000001),"Reguladora",IF(AND('_motor'!$E$628&gt;='_motor'!$B$669,'_motor'!$F$628&lt;0.5*'_motor'!$B$669),"Determinante / entorno",IF(AND('_motor'!$E$628&gt;='_motor'!$B$669,'_motor'!$F$628&lt;'_motor'!$B$669),"Palanca secundaria",IF(AND('_motor'!$E$628&gt;='_motor'!$B$669,'_motor'!$F$628&gt;='_motor'!$B$669),"Clave / de enlace",IF(AND('_motor'!$F$628&gt;='_motor'!$B$669,'_motor'!$E$628&gt;=0.5*'_motor'!$B$669),"Objetivo",IF('_motor'!$F$628&gt;='_motor'!$B$669,"Resultado","Autónoma")))))))</f>
        <v/>
      </c>
      <c r="K48" s="19">
        <f>IF('_motor'!$B$628=0,"",'_motor'!$M$628-'_motor'!$O$628)</f>
        <v/>
      </c>
      <c r="L48" s="19">
        <f>IF('_motor'!$B$628=0,"",IF('_motor'!$O$628&lt;'_motor'!$M$628-2,"▲ VARIABLE OCULTA (sube "&amp;TEXT('_motor'!$M$628-'_motor'!$O$628,"0")&amp;" puestos)",IF('_motor'!$O$628&gt;'_motor'!$M$628+2,"▼ Sobrevalorada en directo (baja "&amp;TEXT('_motor'!$O$628-'_motor'!$M$628,"0")&amp;")","= Estable")))</f>
        <v/>
      </c>
    </row>
    <row r="49" spans="1:12" x14ac:dyDescent="0.2">
      <c r="A49" s="21">
        <f>IF('_motor'!$B$629=0,"",'02 · Variables'!$B$50)</f>
        <v/>
      </c>
      <c r="B49" s="19">
        <f>IF('_motor'!$B$629=0,"",'02 · Variables'!$C$50)</f>
        <v/>
      </c>
      <c r="C49" s="38">
        <f>IF('_motor'!$B$629=0,"",'_motor'!$E$629)</f>
        <v/>
      </c>
      <c r="D49" s="38">
        <f>IF('_motor'!$B$629=0,"",'_motor'!$F$629)</f>
        <v/>
      </c>
      <c r="E49" s="33">
        <f>IF(OR('_motor'!$B$629=0,'_motor'!$B$673=0),"",'_motor'!$E$629/'_motor'!$B$673)</f>
        <v/>
      </c>
      <c r="F49" s="33">
        <f>IF(OR('_motor'!$B$629=0,'_motor'!$B$673=0),"",'_motor'!$F$629/'_motor'!$B$673)</f>
        <v/>
      </c>
      <c r="G49" s="22">
        <f>IF('_motor'!$B$629=0,"",SUMPRODUCT('_motor'!$B$586:$B$665*('_motor'!$E$586:$E$665&gt;'_motor'!$E$629))+(SUMPRODUCT('_motor'!$B$586:$B$665*('_motor'!$E$586:$E$665='_motor'!$E$629))+1)/2)</f>
        <v/>
      </c>
      <c r="H49" s="22">
        <f>IF('_motor'!$B$629=0,"",SUMPRODUCT('_motor'!$B$586:$B$665*('_motor'!$F$586:$F$665&gt;'_motor'!$F$629))+(SUMPRODUCT('_motor'!$B$586:$B$665*('_motor'!$F$586:$F$665='_motor'!$F$629))+1)/2)</f>
        <v/>
      </c>
      <c r="I49" s="19">
        <f>IF('_motor'!$B$629=0,"",IF(AND(ABS('_motor'!$E$629-'_motor'!$B$669)&lt;='_motor'!$B$677+0.000000001,ABS('_motor'!$F$629-'_motor'!$B$669)&lt;='_motor'!$B$677+0.000000001),"5 · Pelotón (no concluyente)",IF(AND('_motor'!$E$629&gt;='_motor'!$B$669,'_motor'!$F$629&lt;'_motor'!$B$669),"1 · Entrada / determinante",IF(AND('_motor'!$E$629&gt;='_motor'!$B$669,'_motor'!$F$629&gt;='_motor'!$B$669),"2 · Intermedia / de enlace",IF(AND('_motor'!$E$629&lt;'_motor'!$B$669,'_motor'!$F$629&gt;='_motor'!$B$669),"3 · Resultado","4 · Excluida / autónoma")))))</f>
        <v/>
      </c>
      <c r="J49" s="19">
        <f>IF('_motor'!$B$629=0,"",IF(AND(ABS('_motor'!$E$629-'_motor'!$B$669)&lt;='_motor'!$B$677+0.000000001,ABS('_motor'!$F$629-'_motor'!$B$669)&lt;='_motor'!$B$677+0.000000001),"Reguladora",IF(AND('_motor'!$E$629&gt;='_motor'!$B$669,'_motor'!$F$629&lt;0.5*'_motor'!$B$669),"Determinante / entorno",IF(AND('_motor'!$E$629&gt;='_motor'!$B$669,'_motor'!$F$629&lt;'_motor'!$B$669),"Palanca secundaria",IF(AND('_motor'!$E$629&gt;='_motor'!$B$669,'_motor'!$F$629&gt;='_motor'!$B$669),"Clave / de enlace",IF(AND('_motor'!$F$629&gt;='_motor'!$B$669,'_motor'!$E$629&gt;=0.5*'_motor'!$B$669),"Objetivo",IF('_motor'!$F$629&gt;='_motor'!$B$669,"Resultado","Autónoma")))))))</f>
        <v/>
      </c>
      <c r="K49" s="19">
        <f>IF('_motor'!$B$629=0,"",'_motor'!$M$629-'_motor'!$O$629)</f>
        <v/>
      </c>
      <c r="L49" s="19">
        <f>IF('_motor'!$B$629=0,"",IF('_motor'!$O$629&lt;'_motor'!$M$629-2,"▲ VARIABLE OCULTA (sube "&amp;TEXT('_motor'!$M$629-'_motor'!$O$629,"0")&amp;" puestos)",IF('_motor'!$O$629&gt;'_motor'!$M$629+2,"▼ Sobrevalorada en directo (baja "&amp;TEXT('_motor'!$O$629-'_motor'!$M$629,"0")&amp;")","= Estable")))</f>
        <v/>
      </c>
    </row>
    <row r="50" spans="1:12" x14ac:dyDescent="0.2">
      <c r="A50" s="21">
        <f>IF('_motor'!$B$630=0,"",'02 · Variables'!$B$51)</f>
        <v/>
      </c>
      <c r="B50" s="19">
        <f>IF('_motor'!$B$630=0,"",'02 · Variables'!$C$51)</f>
        <v/>
      </c>
      <c r="C50" s="38">
        <f>IF('_motor'!$B$630=0,"",'_motor'!$E$630)</f>
        <v/>
      </c>
      <c r="D50" s="38">
        <f>IF('_motor'!$B$630=0,"",'_motor'!$F$630)</f>
        <v/>
      </c>
      <c r="E50" s="33">
        <f>IF(OR('_motor'!$B$630=0,'_motor'!$B$673=0),"",'_motor'!$E$630/'_motor'!$B$673)</f>
        <v/>
      </c>
      <c r="F50" s="33">
        <f>IF(OR('_motor'!$B$630=0,'_motor'!$B$673=0),"",'_motor'!$F$630/'_motor'!$B$673)</f>
        <v/>
      </c>
      <c r="G50" s="22">
        <f>IF('_motor'!$B$630=0,"",SUMPRODUCT('_motor'!$B$586:$B$665*('_motor'!$E$586:$E$665&gt;'_motor'!$E$630))+(SUMPRODUCT('_motor'!$B$586:$B$665*('_motor'!$E$586:$E$665='_motor'!$E$630))+1)/2)</f>
        <v/>
      </c>
      <c r="H50" s="22">
        <f>IF('_motor'!$B$630=0,"",SUMPRODUCT('_motor'!$B$586:$B$665*('_motor'!$F$586:$F$665&gt;'_motor'!$F$630))+(SUMPRODUCT('_motor'!$B$586:$B$665*('_motor'!$F$586:$F$665='_motor'!$F$630))+1)/2)</f>
        <v/>
      </c>
      <c r="I50" s="19">
        <f>IF('_motor'!$B$630=0,"",IF(AND(ABS('_motor'!$E$630-'_motor'!$B$669)&lt;='_motor'!$B$677+0.000000001,ABS('_motor'!$F$630-'_motor'!$B$669)&lt;='_motor'!$B$677+0.000000001),"5 · Pelotón (no concluyente)",IF(AND('_motor'!$E$630&gt;='_motor'!$B$669,'_motor'!$F$630&lt;'_motor'!$B$669),"1 · Entrada / determinante",IF(AND('_motor'!$E$630&gt;='_motor'!$B$669,'_motor'!$F$630&gt;='_motor'!$B$669),"2 · Intermedia / de enlace",IF(AND('_motor'!$E$630&lt;'_motor'!$B$669,'_motor'!$F$630&gt;='_motor'!$B$669),"3 · Resultado","4 · Excluida / autónoma")))))</f>
        <v/>
      </c>
      <c r="J50" s="19">
        <f>IF('_motor'!$B$630=0,"",IF(AND(ABS('_motor'!$E$630-'_motor'!$B$669)&lt;='_motor'!$B$677+0.000000001,ABS('_motor'!$F$630-'_motor'!$B$669)&lt;='_motor'!$B$677+0.000000001),"Reguladora",IF(AND('_motor'!$E$630&gt;='_motor'!$B$669,'_motor'!$F$630&lt;0.5*'_motor'!$B$669),"Determinante / entorno",IF(AND('_motor'!$E$630&gt;='_motor'!$B$669,'_motor'!$F$630&lt;'_motor'!$B$669),"Palanca secundaria",IF(AND('_motor'!$E$630&gt;='_motor'!$B$669,'_motor'!$F$630&gt;='_motor'!$B$669),"Clave / de enlace",IF(AND('_motor'!$F$630&gt;='_motor'!$B$669,'_motor'!$E$630&gt;=0.5*'_motor'!$B$669),"Objetivo",IF('_motor'!$F$630&gt;='_motor'!$B$669,"Resultado","Autónoma")))))))</f>
        <v/>
      </c>
      <c r="K50" s="19">
        <f>IF('_motor'!$B$630=0,"",'_motor'!$M$630-'_motor'!$O$630)</f>
        <v/>
      </c>
      <c r="L50" s="19">
        <f>IF('_motor'!$B$630=0,"",IF('_motor'!$O$630&lt;'_motor'!$M$630-2,"▲ VARIABLE OCULTA (sube "&amp;TEXT('_motor'!$M$630-'_motor'!$O$630,"0")&amp;" puestos)",IF('_motor'!$O$630&gt;'_motor'!$M$630+2,"▼ Sobrevalorada en directo (baja "&amp;TEXT('_motor'!$O$630-'_motor'!$M$630,"0")&amp;")","= Estable")))</f>
        <v/>
      </c>
    </row>
    <row r="51" spans="1:12" x14ac:dyDescent="0.2">
      <c r="A51" s="21">
        <f>IF('_motor'!$B$631=0,"",'02 · Variables'!$B$52)</f>
        <v/>
      </c>
      <c r="B51" s="19">
        <f>IF('_motor'!$B$631=0,"",'02 · Variables'!$C$52)</f>
        <v/>
      </c>
      <c r="C51" s="38">
        <f>IF('_motor'!$B$631=0,"",'_motor'!$E$631)</f>
        <v/>
      </c>
      <c r="D51" s="38">
        <f>IF('_motor'!$B$631=0,"",'_motor'!$F$631)</f>
        <v/>
      </c>
      <c r="E51" s="33">
        <f>IF(OR('_motor'!$B$631=0,'_motor'!$B$673=0),"",'_motor'!$E$631/'_motor'!$B$673)</f>
        <v/>
      </c>
      <c r="F51" s="33">
        <f>IF(OR('_motor'!$B$631=0,'_motor'!$B$673=0),"",'_motor'!$F$631/'_motor'!$B$673)</f>
        <v/>
      </c>
      <c r="G51" s="22">
        <f>IF('_motor'!$B$631=0,"",SUMPRODUCT('_motor'!$B$586:$B$665*('_motor'!$E$586:$E$665&gt;'_motor'!$E$631))+(SUMPRODUCT('_motor'!$B$586:$B$665*('_motor'!$E$586:$E$665='_motor'!$E$631))+1)/2)</f>
        <v/>
      </c>
      <c r="H51" s="22">
        <f>IF('_motor'!$B$631=0,"",SUMPRODUCT('_motor'!$B$586:$B$665*('_motor'!$F$586:$F$665&gt;'_motor'!$F$631))+(SUMPRODUCT('_motor'!$B$586:$B$665*('_motor'!$F$586:$F$665='_motor'!$F$631))+1)/2)</f>
        <v/>
      </c>
      <c r="I51" s="19">
        <f>IF('_motor'!$B$631=0,"",IF(AND(ABS('_motor'!$E$631-'_motor'!$B$669)&lt;='_motor'!$B$677+0.000000001,ABS('_motor'!$F$631-'_motor'!$B$669)&lt;='_motor'!$B$677+0.000000001),"5 · Pelotón (no concluyente)",IF(AND('_motor'!$E$631&gt;='_motor'!$B$669,'_motor'!$F$631&lt;'_motor'!$B$669),"1 · Entrada / determinante",IF(AND('_motor'!$E$631&gt;='_motor'!$B$669,'_motor'!$F$631&gt;='_motor'!$B$669),"2 · Intermedia / de enlace",IF(AND('_motor'!$E$631&lt;'_motor'!$B$669,'_motor'!$F$631&gt;='_motor'!$B$669),"3 · Resultado","4 · Excluida / autónoma")))))</f>
        <v/>
      </c>
      <c r="J51" s="19">
        <f>IF('_motor'!$B$631=0,"",IF(AND(ABS('_motor'!$E$631-'_motor'!$B$669)&lt;='_motor'!$B$677+0.000000001,ABS('_motor'!$F$631-'_motor'!$B$669)&lt;='_motor'!$B$677+0.000000001),"Reguladora",IF(AND('_motor'!$E$631&gt;='_motor'!$B$669,'_motor'!$F$631&lt;0.5*'_motor'!$B$669),"Determinante / entorno",IF(AND('_motor'!$E$631&gt;='_motor'!$B$669,'_motor'!$F$631&lt;'_motor'!$B$669),"Palanca secundaria",IF(AND('_motor'!$E$631&gt;='_motor'!$B$669,'_motor'!$F$631&gt;='_motor'!$B$669),"Clave / de enlace",IF(AND('_motor'!$F$631&gt;='_motor'!$B$669,'_motor'!$E$631&gt;=0.5*'_motor'!$B$669),"Objetivo",IF('_motor'!$F$631&gt;='_motor'!$B$669,"Resultado","Autónoma")))))))</f>
        <v/>
      </c>
      <c r="K51" s="19">
        <f>IF('_motor'!$B$631=0,"",'_motor'!$M$631-'_motor'!$O$631)</f>
        <v/>
      </c>
      <c r="L51" s="19">
        <f>IF('_motor'!$B$631=0,"",IF('_motor'!$O$631&lt;'_motor'!$M$631-2,"▲ VARIABLE OCULTA (sube "&amp;TEXT('_motor'!$M$631-'_motor'!$O$631,"0")&amp;" puestos)",IF('_motor'!$O$631&gt;'_motor'!$M$631+2,"▼ Sobrevalorada en directo (baja "&amp;TEXT('_motor'!$O$631-'_motor'!$M$631,"0")&amp;")","= Estable")))</f>
        <v/>
      </c>
    </row>
    <row r="52" spans="1:12" x14ac:dyDescent="0.2">
      <c r="A52" s="21">
        <f>IF('_motor'!$B$632=0,"",'02 · Variables'!$B$53)</f>
        <v/>
      </c>
      <c r="B52" s="19">
        <f>IF('_motor'!$B$632=0,"",'02 · Variables'!$C$53)</f>
        <v/>
      </c>
      <c r="C52" s="38">
        <f>IF('_motor'!$B$632=0,"",'_motor'!$E$632)</f>
        <v/>
      </c>
      <c r="D52" s="38">
        <f>IF('_motor'!$B$632=0,"",'_motor'!$F$632)</f>
        <v/>
      </c>
      <c r="E52" s="33">
        <f>IF(OR('_motor'!$B$632=0,'_motor'!$B$673=0),"",'_motor'!$E$632/'_motor'!$B$673)</f>
        <v/>
      </c>
      <c r="F52" s="33">
        <f>IF(OR('_motor'!$B$632=0,'_motor'!$B$673=0),"",'_motor'!$F$632/'_motor'!$B$673)</f>
        <v/>
      </c>
      <c r="G52" s="22">
        <f>IF('_motor'!$B$632=0,"",SUMPRODUCT('_motor'!$B$586:$B$665*('_motor'!$E$586:$E$665&gt;'_motor'!$E$632))+(SUMPRODUCT('_motor'!$B$586:$B$665*('_motor'!$E$586:$E$665='_motor'!$E$632))+1)/2)</f>
        <v/>
      </c>
      <c r="H52" s="22">
        <f>IF('_motor'!$B$632=0,"",SUMPRODUCT('_motor'!$B$586:$B$665*('_motor'!$F$586:$F$665&gt;'_motor'!$F$632))+(SUMPRODUCT('_motor'!$B$586:$B$665*('_motor'!$F$586:$F$665='_motor'!$F$632))+1)/2)</f>
        <v/>
      </c>
      <c r="I52" s="19">
        <f>IF('_motor'!$B$632=0,"",IF(AND(ABS('_motor'!$E$632-'_motor'!$B$669)&lt;='_motor'!$B$677+0.000000001,ABS('_motor'!$F$632-'_motor'!$B$669)&lt;='_motor'!$B$677+0.000000001),"5 · Pelotón (no concluyente)",IF(AND('_motor'!$E$632&gt;='_motor'!$B$669,'_motor'!$F$632&lt;'_motor'!$B$669),"1 · Entrada / determinante",IF(AND('_motor'!$E$632&gt;='_motor'!$B$669,'_motor'!$F$632&gt;='_motor'!$B$669),"2 · Intermedia / de enlace",IF(AND('_motor'!$E$632&lt;'_motor'!$B$669,'_motor'!$F$632&gt;='_motor'!$B$669),"3 · Resultado","4 · Excluida / autónoma")))))</f>
        <v/>
      </c>
      <c r="J52" s="19">
        <f>IF('_motor'!$B$632=0,"",IF(AND(ABS('_motor'!$E$632-'_motor'!$B$669)&lt;='_motor'!$B$677+0.000000001,ABS('_motor'!$F$632-'_motor'!$B$669)&lt;='_motor'!$B$677+0.000000001),"Reguladora",IF(AND('_motor'!$E$632&gt;='_motor'!$B$669,'_motor'!$F$632&lt;0.5*'_motor'!$B$669),"Determinante / entorno",IF(AND('_motor'!$E$632&gt;='_motor'!$B$669,'_motor'!$F$632&lt;'_motor'!$B$669),"Palanca secundaria",IF(AND('_motor'!$E$632&gt;='_motor'!$B$669,'_motor'!$F$632&gt;='_motor'!$B$669),"Clave / de enlace",IF(AND('_motor'!$F$632&gt;='_motor'!$B$669,'_motor'!$E$632&gt;=0.5*'_motor'!$B$669),"Objetivo",IF('_motor'!$F$632&gt;='_motor'!$B$669,"Resultado","Autónoma")))))))</f>
        <v/>
      </c>
      <c r="K52" s="19">
        <f>IF('_motor'!$B$632=0,"",'_motor'!$M$632-'_motor'!$O$632)</f>
        <v/>
      </c>
      <c r="L52" s="19">
        <f>IF('_motor'!$B$632=0,"",IF('_motor'!$O$632&lt;'_motor'!$M$632-2,"▲ VARIABLE OCULTA (sube "&amp;TEXT('_motor'!$M$632-'_motor'!$O$632,"0")&amp;" puestos)",IF('_motor'!$O$632&gt;'_motor'!$M$632+2,"▼ Sobrevalorada en directo (baja "&amp;TEXT('_motor'!$O$632-'_motor'!$M$632,"0")&amp;")","= Estable")))</f>
        <v/>
      </c>
    </row>
    <row r="53" spans="1:12" x14ac:dyDescent="0.2">
      <c r="A53" s="21">
        <f>IF('_motor'!$B$633=0,"",'02 · Variables'!$B$54)</f>
        <v/>
      </c>
      <c r="B53" s="19">
        <f>IF('_motor'!$B$633=0,"",'02 · Variables'!$C$54)</f>
        <v/>
      </c>
      <c r="C53" s="38">
        <f>IF('_motor'!$B$633=0,"",'_motor'!$E$633)</f>
        <v/>
      </c>
      <c r="D53" s="38">
        <f>IF('_motor'!$B$633=0,"",'_motor'!$F$633)</f>
        <v/>
      </c>
      <c r="E53" s="33">
        <f>IF(OR('_motor'!$B$633=0,'_motor'!$B$673=0),"",'_motor'!$E$633/'_motor'!$B$673)</f>
        <v/>
      </c>
      <c r="F53" s="33">
        <f>IF(OR('_motor'!$B$633=0,'_motor'!$B$673=0),"",'_motor'!$F$633/'_motor'!$B$673)</f>
        <v/>
      </c>
      <c r="G53" s="22">
        <f>IF('_motor'!$B$633=0,"",SUMPRODUCT('_motor'!$B$586:$B$665*('_motor'!$E$586:$E$665&gt;'_motor'!$E$633))+(SUMPRODUCT('_motor'!$B$586:$B$665*('_motor'!$E$586:$E$665='_motor'!$E$633))+1)/2)</f>
        <v/>
      </c>
      <c r="H53" s="22">
        <f>IF('_motor'!$B$633=0,"",SUMPRODUCT('_motor'!$B$586:$B$665*('_motor'!$F$586:$F$665&gt;'_motor'!$F$633))+(SUMPRODUCT('_motor'!$B$586:$B$665*('_motor'!$F$586:$F$665='_motor'!$F$633))+1)/2)</f>
        <v/>
      </c>
      <c r="I53" s="19">
        <f>IF('_motor'!$B$633=0,"",IF(AND(ABS('_motor'!$E$633-'_motor'!$B$669)&lt;='_motor'!$B$677+0.000000001,ABS('_motor'!$F$633-'_motor'!$B$669)&lt;='_motor'!$B$677+0.000000001),"5 · Pelotón (no concluyente)",IF(AND('_motor'!$E$633&gt;='_motor'!$B$669,'_motor'!$F$633&lt;'_motor'!$B$669),"1 · Entrada / determinante",IF(AND('_motor'!$E$633&gt;='_motor'!$B$669,'_motor'!$F$633&gt;='_motor'!$B$669),"2 · Intermedia / de enlace",IF(AND('_motor'!$E$633&lt;'_motor'!$B$669,'_motor'!$F$633&gt;='_motor'!$B$669),"3 · Resultado","4 · Excluida / autónoma")))))</f>
        <v/>
      </c>
      <c r="J53" s="19">
        <f>IF('_motor'!$B$633=0,"",IF(AND(ABS('_motor'!$E$633-'_motor'!$B$669)&lt;='_motor'!$B$677+0.000000001,ABS('_motor'!$F$633-'_motor'!$B$669)&lt;='_motor'!$B$677+0.000000001),"Reguladora",IF(AND('_motor'!$E$633&gt;='_motor'!$B$669,'_motor'!$F$633&lt;0.5*'_motor'!$B$669),"Determinante / entorno",IF(AND('_motor'!$E$633&gt;='_motor'!$B$669,'_motor'!$F$633&lt;'_motor'!$B$669),"Palanca secundaria",IF(AND('_motor'!$E$633&gt;='_motor'!$B$669,'_motor'!$F$633&gt;='_motor'!$B$669),"Clave / de enlace",IF(AND('_motor'!$F$633&gt;='_motor'!$B$669,'_motor'!$E$633&gt;=0.5*'_motor'!$B$669),"Objetivo",IF('_motor'!$F$633&gt;='_motor'!$B$669,"Resultado","Autónoma")))))))</f>
        <v/>
      </c>
      <c r="K53" s="19">
        <f>IF('_motor'!$B$633=0,"",'_motor'!$M$633-'_motor'!$O$633)</f>
        <v/>
      </c>
      <c r="L53" s="19">
        <f>IF('_motor'!$B$633=0,"",IF('_motor'!$O$633&lt;'_motor'!$M$633-2,"▲ VARIABLE OCULTA (sube "&amp;TEXT('_motor'!$M$633-'_motor'!$O$633,"0")&amp;" puestos)",IF('_motor'!$O$633&gt;'_motor'!$M$633+2,"▼ Sobrevalorada en directo (baja "&amp;TEXT('_motor'!$O$633-'_motor'!$M$633,"0")&amp;")","= Estable")))</f>
        <v/>
      </c>
    </row>
    <row r="54" spans="1:12" x14ac:dyDescent="0.2">
      <c r="A54" s="21">
        <f>IF('_motor'!$B$634=0,"",'02 · Variables'!$B$55)</f>
        <v/>
      </c>
      <c r="B54" s="19">
        <f>IF('_motor'!$B$634=0,"",'02 · Variables'!$C$55)</f>
        <v/>
      </c>
      <c r="C54" s="38">
        <f>IF('_motor'!$B$634=0,"",'_motor'!$E$634)</f>
        <v/>
      </c>
      <c r="D54" s="38">
        <f>IF('_motor'!$B$634=0,"",'_motor'!$F$634)</f>
        <v/>
      </c>
      <c r="E54" s="33">
        <f>IF(OR('_motor'!$B$634=0,'_motor'!$B$673=0),"",'_motor'!$E$634/'_motor'!$B$673)</f>
        <v/>
      </c>
      <c r="F54" s="33">
        <f>IF(OR('_motor'!$B$634=0,'_motor'!$B$673=0),"",'_motor'!$F$634/'_motor'!$B$673)</f>
        <v/>
      </c>
      <c r="G54" s="22">
        <f>IF('_motor'!$B$634=0,"",SUMPRODUCT('_motor'!$B$586:$B$665*('_motor'!$E$586:$E$665&gt;'_motor'!$E$634))+(SUMPRODUCT('_motor'!$B$586:$B$665*('_motor'!$E$586:$E$665='_motor'!$E$634))+1)/2)</f>
        <v/>
      </c>
      <c r="H54" s="22">
        <f>IF('_motor'!$B$634=0,"",SUMPRODUCT('_motor'!$B$586:$B$665*('_motor'!$F$586:$F$665&gt;'_motor'!$F$634))+(SUMPRODUCT('_motor'!$B$586:$B$665*('_motor'!$F$586:$F$665='_motor'!$F$634))+1)/2)</f>
        <v/>
      </c>
      <c r="I54" s="19">
        <f>IF('_motor'!$B$634=0,"",IF(AND(ABS('_motor'!$E$634-'_motor'!$B$669)&lt;='_motor'!$B$677+0.000000001,ABS('_motor'!$F$634-'_motor'!$B$669)&lt;='_motor'!$B$677+0.000000001),"5 · Pelotón (no concluyente)",IF(AND('_motor'!$E$634&gt;='_motor'!$B$669,'_motor'!$F$634&lt;'_motor'!$B$669),"1 · Entrada / determinante",IF(AND('_motor'!$E$634&gt;='_motor'!$B$669,'_motor'!$F$634&gt;='_motor'!$B$669),"2 · Intermedia / de enlace",IF(AND('_motor'!$E$634&lt;'_motor'!$B$669,'_motor'!$F$634&gt;='_motor'!$B$669),"3 · Resultado","4 · Excluida / autónoma")))))</f>
        <v/>
      </c>
      <c r="J54" s="19">
        <f>IF('_motor'!$B$634=0,"",IF(AND(ABS('_motor'!$E$634-'_motor'!$B$669)&lt;='_motor'!$B$677+0.000000001,ABS('_motor'!$F$634-'_motor'!$B$669)&lt;='_motor'!$B$677+0.000000001),"Reguladora",IF(AND('_motor'!$E$634&gt;='_motor'!$B$669,'_motor'!$F$634&lt;0.5*'_motor'!$B$669),"Determinante / entorno",IF(AND('_motor'!$E$634&gt;='_motor'!$B$669,'_motor'!$F$634&lt;'_motor'!$B$669),"Palanca secundaria",IF(AND('_motor'!$E$634&gt;='_motor'!$B$669,'_motor'!$F$634&gt;='_motor'!$B$669),"Clave / de enlace",IF(AND('_motor'!$F$634&gt;='_motor'!$B$669,'_motor'!$E$634&gt;=0.5*'_motor'!$B$669),"Objetivo",IF('_motor'!$F$634&gt;='_motor'!$B$669,"Resultado","Autónoma")))))))</f>
        <v/>
      </c>
      <c r="K54" s="19">
        <f>IF('_motor'!$B$634=0,"",'_motor'!$M$634-'_motor'!$O$634)</f>
        <v/>
      </c>
      <c r="L54" s="19">
        <f>IF('_motor'!$B$634=0,"",IF('_motor'!$O$634&lt;'_motor'!$M$634-2,"▲ VARIABLE OCULTA (sube "&amp;TEXT('_motor'!$M$634-'_motor'!$O$634,"0")&amp;" puestos)",IF('_motor'!$O$634&gt;'_motor'!$M$634+2,"▼ Sobrevalorada en directo (baja "&amp;TEXT('_motor'!$O$634-'_motor'!$M$634,"0")&amp;")","= Estable")))</f>
        <v/>
      </c>
    </row>
    <row r="55" spans="1:12" x14ac:dyDescent="0.2">
      <c r="A55" s="21">
        <f>IF('_motor'!$B$635=0,"",'02 · Variables'!$B$56)</f>
        <v/>
      </c>
      <c r="B55" s="19">
        <f>IF('_motor'!$B$635=0,"",'02 · Variables'!$C$56)</f>
        <v/>
      </c>
      <c r="C55" s="38">
        <f>IF('_motor'!$B$635=0,"",'_motor'!$E$635)</f>
        <v/>
      </c>
      <c r="D55" s="38">
        <f>IF('_motor'!$B$635=0,"",'_motor'!$F$635)</f>
        <v/>
      </c>
      <c r="E55" s="33">
        <f>IF(OR('_motor'!$B$635=0,'_motor'!$B$673=0),"",'_motor'!$E$635/'_motor'!$B$673)</f>
        <v/>
      </c>
      <c r="F55" s="33">
        <f>IF(OR('_motor'!$B$635=0,'_motor'!$B$673=0),"",'_motor'!$F$635/'_motor'!$B$673)</f>
        <v/>
      </c>
      <c r="G55" s="22">
        <f>IF('_motor'!$B$635=0,"",SUMPRODUCT('_motor'!$B$586:$B$665*('_motor'!$E$586:$E$665&gt;'_motor'!$E$635))+(SUMPRODUCT('_motor'!$B$586:$B$665*('_motor'!$E$586:$E$665='_motor'!$E$635))+1)/2)</f>
        <v/>
      </c>
      <c r="H55" s="22">
        <f>IF('_motor'!$B$635=0,"",SUMPRODUCT('_motor'!$B$586:$B$665*('_motor'!$F$586:$F$665&gt;'_motor'!$F$635))+(SUMPRODUCT('_motor'!$B$586:$B$665*('_motor'!$F$586:$F$665='_motor'!$F$635))+1)/2)</f>
        <v/>
      </c>
      <c r="I55" s="19">
        <f>IF('_motor'!$B$635=0,"",IF(AND(ABS('_motor'!$E$635-'_motor'!$B$669)&lt;='_motor'!$B$677+0.000000001,ABS('_motor'!$F$635-'_motor'!$B$669)&lt;='_motor'!$B$677+0.000000001),"5 · Pelotón (no concluyente)",IF(AND('_motor'!$E$635&gt;='_motor'!$B$669,'_motor'!$F$635&lt;'_motor'!$B$669),"1 · Entrada / determinante",IF(AND('_motor'!$E$635&gt;='_motor'!$B$669,'_motor'!$F$635&gt;='_motor'!$B$669),"2 · Intermedia / de enlace",IF(AND('_motor'!$E$635&lt;'_motor'!$B$669,'_motor'!$F$635&gt;='_motor'!$B$669),"3 · Resultado","4 · Excluida / autónoma")))))</f>
        <v/>
      </c>
      <c r="J55" s="19">
        <f>IF('_motor'!$B$635=0,"",IF(AND(ABS('_motor'!$E$635-'_motor'!$B$669)&lt;='_motor'!$B$677+0.000000001,ABS('_motor'!$F$635-'_motor'!$B$669)&lt;='_motor'!$B$677+0.000000001),"Reguladora",IF(AND('_motor'!$E$635&gt;='_motor'!$B$669,'_motor'!$F$635&lt;0.5*'_motor'!$B$669),"Determinante / entorno",IF(AND('_motor'!$E$635&gt;='_motor'!$B$669,'_motor'!$F$635&lt;'_motor'!$B$669),"Palanca secundaria",IF(AND('_motor'!$E$635&gt;='_motor'!$B$669,'_motor'!$F$635&gt;='_motor'!$B$669),"Clave / de enlace",IF(AND('_motor'!$F$635&gt;='_motor'!$B$669,'_motor'!$E$635&gt;=0.5*'_motor'!$B$669),"Objetivo",IF('_motor'!$F$635&gt;='_motor'!$B$669,"Resultado","Autónoma")))))))</f>
        <v/>
      </c>
      <c r="K55" s="19">
        <f>IF('_motor'!$B$635=0,"",'_motor'!$M$635-'_motor'!$O$635)</f>
        <v/>
      </c>
      <c r="L55" s="19">
        <f>IF('_motor'!$B$635=0,"",IF('_motor'!$O$635&lt;'_motor'!$M$635-2,"▲ VARIABLE OCULTA (sube "&amp;TEXT('_motor'!$M$635-'_motor'!$O$635,"0")&amp;" puestos)",IF('_motor'!$O$635&gt;'_motor'!$M$635+2,"▼ Sobrevalorada en directo (baja "&amp;TEXT('_motor'!$O$635-'_motor'!$M$635,"0")&amp;")","= Estable")))</f>
        <v/>
      </c>
    </row>
    <row r="56" spans="1:12" x14ac:dyDescent="0.2">
      <c r="A56" s="21">
        <f>IF('_motor'!$B$636=0,"",'02 · Variables'!$B$57)</f>
        <v/>
      </c>
      <c r="B56" s="19">
        <f>IF('_motor'!$B$636=0,"",'02 · Variables'!$C$57)</f>
        <v/>
      </c>
      <c r="C56" s="38">
        <f>IF('_motor'!$B$636=0,"",'_motor'!$E$636)</f>
        <v/>
      </c>
      <c r="D56" s="38">
        <f>IF('_motor'!$B$636=0,"",'_motor'!$F$636)</f>
        <v/>
      </c>
      <c r="E56" s="33">
        <f>IF(OR('_motor'!$B$636=0,'_motor'!$B$673=0),"",'_motor'!$E$636/'_motor'!$B$673)</f>
        <v/>
      </c>
      <c r="F56" s="33">
        <f>IF(OR('_motor'!$B$636=0,'_motor'!$B$673=0),"",'_motor'!$F$636/'_motor'!$B$673)</f>
        <v/>
      </c>
      <c r="G56" s="22">
        <f>IF('_motor'!$B$636=0,"",SUMPRODUCT('_motor'!$B$586:$B$665*('_motor'!$E$586:$E$665&gt;'_motor'!$E$636))+(SUMPRODUCT('_motor'!$B$586:$B$665*('_motor'!$E$586:$E$665='_motor'!$E$636))+1)/2)</f>
        <v/>
      </c>
      <c r="H56" s="22">
        <f>IF('_motor'!$B$636=0,"",SUMPRODUCT('_motor'!$B$586:$B$665*('_motor'!$F$586:$F$665&gt;'_motor'!$F$636))+(SUMPRODUCT('_motor'!$B$586:$B$665*('_motor'!$F$586:$F$665='_motor'!$F$636))+1)/2)</f>
        <v/>
      </c>
      <c r="I56" s="19">
        <f>IF('_motor'!$B$636=0,"",IF(AND(ABS('_motor'!$E$636-'_motor'!$B$669)&lt;='_motor'!$B$677+0.000000001,ABS('_motor'!$F$636-'_motor'!$B$669)&lt;='_motor'!$B$677+0.000000001),"5 · Pelotón (no concluyente)",IF(AND('_motor'!$E$636&gt;='_motor'!$B$669,'_motor'!$F$636&lt;'_motor'!$B$669),"1 · Entrada / determinante",IF(AND('_motor'!$E$636&gt;='_motor'!$B$669,'_motor'!$F$636&gt;='_motor'!$B$669),"2 · Intermedia / de enlace",IF(AND('_motor'!$E$636&lt;'_motor'!$B$669,'_motor'!$F$636&gt;='_motor'!$B$669),"3 · Resultado","4 · Excluida / autónoma")))))</f>
        <v/>
      </c>
      <c r="J56" s="19">
        <f>IF('_motor'!$B$636=0,"",IF(AND(ABS('_motor'!$E$636-'_motor'!$B$669)&lt;='_motor'!$B$677+0.000000001,ABS('_motor'!$F$636-'_motor'!$B$669)&lt;='_motor'!$B$677+0.000000001),"Reguladora",IF(AND('_motor'!$E$636&gt;='_motor'!$B$669,'_motor'!$F$636&lt;0.5*'_motor'!$B$669),"Determinante / entorno",IF(AND('_motor'!$E$636&gt;='_motor'!$B$669,'_motor'!$F$636&lt;'_motor'!$B$669),"Palanca secundaria",IF(AND('_motor'!$E$636&gt;='_motor'!$B$669,'_motor'!$F$636&gt;='_motor'!$B$669),"Clave / de enlace",IF(AND('_motor'!$F$636&gt;='_motor'!$B$669,'_motor'!$E$636&gt;=0.5*'_motor'!$B$669),"Objetivo",IF('_motor'!$F$636&gt;='_motor'!$B$669,"Resultado","Autónoma")))))))</f>
        <v/>
      </c>
      <c r="K56" s="19">
        <f>IF('_motor'!$B$636=0,"",'_motor'!$M$636-'_motor'!$O$636)</f>
        <v/>
      </c>
      <c r="L56" s="19">
        <f>IF('_motor'!$B$636=0,"",IF('_motor'!$O$636&lt;'_motor'!$M$636-2,"▲ VARIABLE OCULTA (sube "&amp;TEXT('_motor'!$M$636-'_motor'!$O$636,"0")&amp;" puestos)",IF('_motor'!$O$636&gt;'_motor'!$M$636+2,"▼ Sobrevalorada en directo (baja "&amp;TEXT('_motor'!$O$636-'_motor'!$M$636,"0")&amp;")","= Estable")))</f>
        <v/>
      </c>
    </row>
    <row r="57" spans="1:12" x14ac:dyDescent="0.2">
      <c r="A57" s="21">
        <f>IF('_motor'!$B$637=0,"",'02 · Variables'!$B$58)</f>
        <v/>
      </c>
      <c r="B57" s="19">
        <f>IF('_motor'!$B$637=0,"",'02 · Variables'!$C$58)</f>
        <v/>
      </c>
      <c r="C57" s="38">
        <f>IF('_motor'!$B$637=0,"",'_motor'!$E$637)</f>
        <v/>
      </c>
      <c r="D57" s="38">
        <f>IF('_motor'!$B$637=0,"",'_motor'!$F$637)</f>
        <v/>
      </c>
      <c r="E57" s="33">
        <f>IF(OR('_motor'!$B$637=0,'_motor'!$B$673=0),"",'_motor'!$E$637/'_motor'!$B$673)</f>
        <v/>
      </c>
      <c r="F57" s="33">
        <f>IF(OR('_motor'!$B$637=0,'_motor'!$B$673=0),"",'_motor'!$F$637/'_motor'!$B$673)</f>
        <v/>
      </c>
      <c r="G57" s="22">
        <f>IF('_motor'!$B$637=0,"",SUMPRODUCT('_motor'!$B$586:$B$665*('_motor'!$E$586:$E$665&gt;'_motor'!$E$637))+(SUMPRODUCT('_motor'!$B$586:$B$665*('_motor'!$E$586:$E$665='_motor'!$E$637))+1)/2)</f>
        <v/>
      </c>
      <c r="H57" s="22">
        <f>IF('_motor'!$B$637=0,"",SUMPRODUCT('_motor'!$B$586:$B$665*('_motor'!$F$586:$F$665&gt;'_motor'!$F$637))+(SUMPRODUCT('_motor'!$B$586:$B$665*('_motor'!$F$586:$F$665='_motor'!$F$637))+1)/2)</f>
        <v/>
      </c>
      <c r="I57" s="19">
        <f>IF('_motor'!$B$637=0,"",IF(AND(ABS('_motor'!$E$637-'_motor'!$B$669)&lt;='_motor'!$B$677+0.000000001,ABS('_motor'!$F$637-'_motor'!$B$669)&lt;='_motor'!$B$677+0.000000001),"5 · Pelotón (no concluyente)",IF(AND('_motor'!$E$637&gt;='_motor'!$B$669,'_motor'!$F$637&lt;'_motor'!$B$669),"1 · Entrada / determinante",IF(AND('_motor'!$E$637&gt;='_motor'!$B$669,'_motor'!$F$637&gt;='_motor'!$B$669),"2 · Intermedia / de enlace",IF(AND('_motor'!$E$637&lt;'_motor'!$B$669,'_motor'!$F$637&gt;='_motor'!$B$669),"3 · Resultado","4 · Excluida / autónoma")))))</f>
        <v/>
      </c>
      <c r="J57" s="19">
        <f>IF('_motor'!$B$637=0,"",IF(AND(ABS('_motor'!$E$637-'_motor'!$B$669)&lt;='_motor'!$B$677+0.000000001,ABS('_motor'!$F$637-'_motor'!$B$669)&lt;='_motor'!$B$677+0.000000001),"Reguladora",IF(AND('_motor'!$E$637&gt;='_motor'!$B$669,'_motor'!$F$637&lt;0.5*'_motor'!$B$669),"Determinante / entorno",IF(AND('_motor'!$E$637&gt;='_motor'!$B$669,'_motor'!$F$637&lt;'_motor'!$B$669),"Palanca secundaria",IF(AND('_motor'!$E$637&gt;='_motor'!$B$669,'_motor'!$F$637&gt;='_motor'!$B$669),"Clave / de enlace",IF(AND('_motor'!$F$637&gt;='_motor'!$B$669,'_motor'!$E$637&gt;=0.5*'_motor'!$B$669),"Objetivo",IF('_motor'!$F$637&gt;='_motor'!$B$669,"Resultado","Autónoma")))))))</f>
        <v/>
      </c>
      <c r="K57" s="19">
        <f>IF('_motor'!$B$637=0,"",'_motor'!$M$637-'_motor'!$O$637)</f>
        <v/>
      </c>
      <c r="L57" s="19">
        <f>IF('_motor'!$B$637=0,"",IF('_motor'!$O$637&lt;'_motor'!$M$637-2,"▲ VARIABLE OCULTA (sube "&amp;TEXT('_motor'!$M$637-'_motor'!$O$637,"0")&amp;" puestos)",IF('_motor'!$O$637&gt;'_motor'!$M$637+2,"▼ Sobrevalorada en directo (baja "&amp;TEXT('_motor'!$O$637-'_motor'!$M$637,"0")&amp;")","= Estable")))</f>
        <v/>
      </c>
    </row>
    <row r="58" spans="1:12" x14ac:dyDescent="0.2">
      <c r="A58" s="21">
        <f>IF('_motor'!$B$638=0,"",'02 · Variables'!$B$59)</f>
        <v/>
      </c>
      <c r="B58" s="19">
        <f>IF('_motor'!$B$638=0,"",'02 · Variables'!$C$59)</f>
        <v/>
      </c>
      <c r="C58" s="38">
        <f>IF('_motor'!$B$638=0,"",'_motor'!$E$638)</f>
        <v/>
      </c>
      <c r="D58" s="38">
        <f>IF('_motor'!$B$638=0,"",'_motor'!$F$638)</f>
        <v/>
      </c>
      <c r="E58" s="33">
        <f>IF(OR('_motor'!$B$638=0,'_motor'!$B$673=0),"",'_motor'!$E$638/'_motor'!$B$673)</f>
        <v/>
      </c>
      <c r="F58" s="33">
        <f>IF(OR('_motor'!$B$638=0,'_motor'!$B$673=0),"",'_motor'!$F$638/'_motor'!$B$673)</f>
        <v/>
      </c>
      <c r="G58" s="22">
        <f>IF('_motor'!$B$638=0,"",SUMPRODUCT('_motor'!$B$586:$B$665*('_motor'!$E$586:$E$665&gt;'_motor'!$E$638))+(SUMPRODUCT('_motor'!$B$586:$B$665*('_motor'!$E$586:$E$665='_motor'!$E$638))+1)/2)</f>
        <v/>
      </c>
      <c r="H58" s="22">
        <f>IF('_motor'!$B$638=0,"",SUMPRODUCT('_motor'!$B$586:$B$665*('_motor'!$F$586:$F$665&gt;'_motor'!$F$638))+(SUMPRODUCT('_motor'!$B$586:$B$665*('_motor'!$F$586:$F$665='_motor'!$F$638))+1)/2)</f>
        <v/>
      </c>
      <c r="I58" s="19">
        <f>IF('_motor'!$B$638=0,"",IF(AND(ABS('_motor'!$E$638-'_motor'!$B$669)&lt;='_motor'!$B$677+0.000000001,ABS('_motor'!$F$638-'_motor'!$B$669)&lt;='_motor'!$B$677+0.000000001),"5 · Pelotón (no concluyente)",IF(AND('_motor'!$E$638&gt;='_motor'!$B$669,'_motor'!$F$638&lt;'_motor'!$B$669),"1 · Entrada / determinante",IF(AND('_motor'!$E$638&gt;='_motor'!$B$669,'_motor'!$F$638&gt;='_motor'!$B$669),"2 · Intermedia / de enlace",IF(AND('_motor'!$E$638&lt;'_motor'!$B$669,'_motor'!$F$638&gt;='_motor'!$B$669),"3 · Resultado","4 · Excluida / autónoma")))))</f>
        <v/>
      </c>
      <c r="J58" s="19">
        <f>IF('_motor'!$B$638=0,"",IF(AND(ABS('_motor'!$E$638-'_motor'!$B$669)&lt;='_motor'!$B$677+0.000000001,ABS('_motor'!$F$638-'_motor'!$B$669)&lt;='_motor'!$B$677+0.000000001),"Reguladora",IF(AND('_motor'!$E$638&gt;='_motor'!$B$669,'_motor'!$F$638&lt;0.5*'_motor'!$B$669),"Determinante / entorno",IF(AND('_motor'!$E$638&gt;='_motor'!$B$669,'_motor'!$F$638&lt;'_motor'!$B$669),"Palanca secundaria",IF(AND('_motor'!$E$638&gt;='_motor'!$B$669,'_motor'!$F$638&gt;='_motor'!$B$669),"Clave / de enlace",IF(AND('_motor'!$F$638&gt;='_motor'!$B$669,'_motor'!$E$638&gt;=0.5*'_motor'!$B$669),"Objetivo",IF('_motor'!$F$638&gt;='_motor'!$B$669,"Resultado","Autónoma")))))))</f>
        <v/>
      </c>
      <c r="K58" s="19">
        <f>IF('_motor'!$B$638=0,"",'_motor'!$M$638-'_motor'!$O$638)</f>
        <v/>
      </c>
      <c r="L58" s="19">
        <f>IF('_motor'!$B$638=0,"",IF('_motor'!$O$638&lt;'_motor'!$M$638-2,"▲ VARIABLE OCULTA (sube "&amp;TEXT('_motor'!$M$638-'_motor'!$O$638,"0")&amp;" puestos)",IF('_motor'!$O$638&gt;'_motor'!$M$638+2,"▼ Sobrevalorada en directo (baja "&amp;TEXT('_motor'!$O$638-'_motor'!$M$638,"0")&amp;")","= Estable")))</f>
        <v/>
      </c>
    </row>
    <row r="59" spans="1:12" x14ac:dyDescent="0.2">
      <c r="A59" s="21">
        <f>IF('_motor'!$B$639=0,"",'02 · Variables'!$B$60)</f>
        <v/>
      </c>
      <c r="B59" s="19">
        <f>IF('_motor'!$B$639=0,"",'02 · Variables'!$C$60)</f>
        <v/>
      </c>
      <c r="C59" s="38">
        <f>IF('_motor'!$B$639=0,"",'_motor'!$E$639)</f>
        <v/>
      </c>
      <c r="D59" s="38">
        <f>IF('_motor'!$B$639=0,"",'_motor'!$F$639)</f>
        <v/>
      </c>
      <c r="E59" s="33">
        <f>IF(OR('_motor'!$B$639=0,'_motor'!$B$673=0),"",'_motor'!$E$639/'_motor'!$B$673)</f>
        <v/>
      </c>
      <c r="F59" s="33">
        <f>IF(OR('_motor'!$B$639=0,'_motor'!$B$673=0),"",'_motor'!$F$639/'_motor'!$B$673)</f>
        <v/>
      </c>
      <c r="G59" s="22">
        <f>IF('_motor'!$B$639=0,"",SUMPRODUCT('_motor'!$B$586:$B$665*('_motor'!$E$586:$E$665&gt;'_motor'!$E$639))+(SUMPRODUCT('_motor'!$B$586:$B$665*('_motor'!$E$586:$E$665='_motor'!$E$639))+1)/2)</f>
        <v/>
      </c>
      <c r="H59" s="22">
        <f>IF('_motor'!$B$639=0,"",SUMPRODUCT('_motor'!$B$586:$B$665*('_motor'!$F$586:$F$665&gt;'_motor'!$F$639))+(SUMPRODUCT('_motor'!$B$586:$B$665*('_motor'!$F$586:$F$665='_motor'!$F$639))+1)/2)</f>
        <v/>
      </c>
      <c r="I59" s="19">
        <f>IF('_motor'!$B$639=0,"",IF(AND(ABS('_motor'!$E$639-'_motor'!$B$669)&lt;='_motor'!$B$677+0.000000001,ABS('_motor'!$F$639-'_motor'!$B$669)&lt;='_motor'!$B$677+0.000000001),"5 · Pelotón (no concluyente)",IF(AND('_motor'!$E$639&gt;='_motor'!$B$669,'_motor'!$F$639&lt;'_motor'!$B$669),"1 · Entrada / determinante",IF(AND('_motor'!$E$639&gt;='_motor'!$B$669,'_motor'!$F$639&gt;='_motor'!$B$669),"2 · Intermedia / de enlace",IF(AND('_motor'!$E$639&lt;'_motor'!$B$669,'_motor'!$F$639&gt;='_motor'!$B$669),"3 · Resultado","4 · Excluida / autónoma")))))</f>
        <v/>
      </c>
      <c r="J59" s="19">
        <f>IF('_motor'!$B$639=0,"",IF(AND(ABS('_motor'!$E$639-'_motor'!$B$669)&lt;='_motor'!$B$677+0.000000001,ABS('_motor'!$F$639-'_motor'!$B$669)&lt;='_motor'!$B$677+0.000000001),"Reguladora",IF(AND('_motor'!$E$639&gt;='_motor'!$B$669,'_motor'!$F$639&lt;0.5*'_motor'!$B$669),"Determinante / entorno",IF(AND('_motor'!$E$639&gt;='_motor'!$B$669,'_motor'!$F$639&lt;'_motor'!$B$669),"Palanca secundaria",IF(AND('_motor'!$E$639&gt;='_motor'!$B$669,'_motor'!$F$639&gt;='_motor'!$B$669),"Clave / de enlace",IF(AND('_motor'!$F$639&gt;='_motor'!$B$669,'_motor'!$E$639&gt;=0.5*'_motor'!$B$669),"Objetivo",IF('_motor'!$F$639&gt;='_motor'!$B$669,"Resultado","Autónoma")))))))</f>
        <v/>
      </c>
      <c r="K59" s="19">
        <f>IF('_motor'!$B$639=0,"",'_motor'!$M$639-'_motor'!$O$639)</f>
        <v/>
      </c>
      <c r="L59" s="19">
        <f>IF('_motor'!$B$639=0,"",IF('_motor'!$O$639&lt;'_motor'!$M$639-2,"▲ VARIABLE OCULTA (sube "&amp;TEXT('_motor'!$M$639-'_motor'!$O$639,"0")&amp;" puestos)",IF('_motor'!$O$639&gt;'_motor'!$M$639+2,"▼ Sobrevalorada en directo (baja "&amp;TEXT('_motor'!$O$639-'_motor'!$M$639,"0")&amp;")","= Estable")))</f>
        <v/>
      </c>
    </row>
    <row r="60" spans="1:12" x14ac:dyDescent="0.2">
      <c r="A60" s="21">
        <f>IF('_motor'!$B$640=0,"",'02 · Variables'!$B$61)</f>
        <v/>
      </c>
      <c r="B60" s="19">
        <f>IF('_motor'!$B$640=0,"",'02 · Variables'!$C$61)</f>
        <v/>
      </c>
      <c r="C60" s="38">
        <f>IF('_motor'!$B$640=0,"",'_motor'!$E$640)</f>
        <v/>
      </c>
      <c r="D60" s="38">
        <f>IF('_motor'!$B$640=0,"",'_motor'!$F$640)</f>
        <v/>
      </c>
      <c r="E60" s="33">
        <f>IF(OR('_motor'!$B$640=0,'_motor'!$B$673=0),"",'_motor'!$E$640/'_motor'!$B$673)</f>
        <v/>
      </c>
      <c r="F60" s="33">
        <f>IF(OR('_motor'!$B$640=0,'_motor'!$B$673=0),"",'_motor'!$F$640/'_motor'!$B$673)</f>
        <v/>
      </c>
      <c r="G60" s="22">
        <f>IF('_motor'!$B$640=0,"",SUMPRODUCT('_motor'!$B$586:$B$665*('_motor'!$E$586:$E$665&gt;'_motor'!$E$640))+(SUMPRODUCT('_motor'!$B$586:$B$665*('_motor'!$E$586:$E$665='_motor'!$E$640))+1)/2)</f>
        <v/>
      </c>
      <c r="H60" s="22">
        <f>IF('_motor'!$B$640=0,"",SUMPRODUCT('_motor'!$B$586:$B$665*('_motor'!$F$586:$F$665&gt;'_motor'!$F$640))+(SUMPRODUCT('_motor'!$B$586:$B$665*('_motor'!$F$586:$F$665='_motor'!$F$640))+1)/2)</f>
        <v/>
      </c>
      <c r="I60" s="19">
        <f>IF('_motor'!$B$640=0,"",IF(AND(ABS('_motor'!$E$640-'_motor'!$B$669)&lt;='_motor'!$B$677+0.000000001,ABS('_motor'!$F$640-'_motor'!$B$669)&lt;='_motor'!$B$677+0.000000001),"5 · Pelotón (no concluyente)",IF(AND('_motor'!$E$640&gt;='_motor'!$B$669,'_motor'!$F$640&lt;'_motor'!$B$669),"1 · Entrada / determinante",IF(AND('_motor'!$E$640&gt;='_motor'!$B$669,'_motor'!$F$640&gt;='_motor'!$B$669),"2 · Intermedia / de enlace",IF(AND('_motor'!$E$640&lt;'_motor'!$B$669,'_motor'!$F$640&gt;='_motor'!$B$669),"3 · Resultado","4 · Excluida / autónoma")))))</f>
        <v/>
      </c>
      <c r="J60" s="19">
        <f>IF('_motor'!$B$640=0,"",IF(AND(ABS('_motor'!$E$640-'_motor'!$B$669)&lt;='_motor'!$B$677+0.000000001,ABS('_motor'!$F$640-'_motor'!$B$669)&lt;='_motor'!$B$677+0.000000001),"Reguladora",IF(AND('_motor'!$E$640&gt;='_motor'!$B$669,'_motor'!$F$640&lt;0.5*'_motor'!$B$669),"Determinante / entorno",IF(AND('_motor'!$E$640&gt;='_motor'!$B$669,'_motor'!$F$640&lt;'_motor'!$B$669),"Palanca secundaria",IF(AND('_motor'!$E$640&gt;='_motor'!$B$669,'_motor'!$F$640&gt;='_motor'!$B$669),"Clave / de enlace",IF(AND('_motor'!$F$640&gt;='_motor'!$B$669,'_motor'!$E$640&gt;=0.5*'_motor'!$B$669),"Objetivo",IF('_motor'!$F$640&gt;='_motor'!$B$669,"Resultado","Autónoma")))))))</f>
        <v/>
      </c>
      <c r="K60" s="19">
        <f>IF('_motor'!$B$640=0,"",'_motor'!$M$640-'_motor'!$O$640)</f>
        <v/>
      </c>
      <c r="L60" s="19">
        <f>IF('_motor'!$B$640=0,"",IF('_motor'!$O$640&lt;'_motor'!$M$640-2,"▲ VARIABLE OCULTA (sube "&amp;TEXT('_motor'!$M$640-'_motor'!$O$640,"0")&amp;" puestos)",IF('_motor'!$O$640&gt;'_motor'!$M$640+2,"▼ Sobrevalorada en directo (baja "&amp;TEXT('_motor'!$O$640-'_motor'!$M$640,"0")&amp;")","= Estable")))</f>
        <v/>
      </c>
    </row>
    <row r="61" spans="1:12" x14ac:dyDescent="0.2">
      <c r="A61" s="21">
        <f>IF('_motor'!$B$641=0,"",'02 · Variables'!$B$62)</f>
        <v/>
      </c>
      <c r="B61" s="19">
        <f>IF('_motor'!$B$641=0,"",'02 · Variables'!$C$62)</f>
        <v/>
      </c>
      <c r="C61" s="38">
        <f>IF('_motor'!$B$641=0,"",'_motor'!$E$641)</f>
        <v/>
      </c>
      <c r="D61" s="38">
        <f>IF('_motor'!$B$641=0,"",'_motor'!$F$641)</f>
        <v/>
      </c>
      <c r="E61" s="33">
        <f>IF(OR('_motor'!$B$641=0,'_motor'!$B$673=0),"",'_motor'!$E$641/'_motor'!$B$673)</f>
        <v/>
      </c>
      <c r="F61" s="33">
        <f>IF(OR('_motor'!$B$641=0,'_motor'!$B$673=0),"",'_motor'!$F$641/'_motor'!$B$673)</f>
        <v/>
      </c>
      <c r="G61" s="22">
        <f>IF('_motor'!$B$641=0,"",SUMPRODUCT('_motor'!$B$586:$B$665*('_motor'!$E$586:$E$665&gt;'_motor'!$E$641))+(SUMPRODUCT('_motor'!$B$586:$B$665*('_motor'!$E$586:$E$665='_motor'!$E$641))+1)/2)</f>
        <v/>
      </c>
      <c r="H61" s="22">
        <f>IF('_motor'!$B$641=0,"",SUMPRODUCT('_motor'!$B$586:$B$665*('_motor'!$F$586:$F$665&gt;'_motor'!$F$641))+(SUMPRODUCT('_motor'!$B$586:$B$665*('_motor'!$F$586:$F$665='_motor'!$F$641))+1)/2)</f>
        <v/>
      </c>
      <c r="I61" s="19">
        <f>IF('_motor'!$B$641=0,"",IF(AND(ABS('_motor'!$E$641-'_motor'!$B$669)&lt;='_motor'!$B$677+0.000000001,ABS('_motor'!$F$641-'_motor'!$B$669)&lt;='_motor'!$B$677+0.000000001),"5 · Pelotón (no concluyente)",IF(AND('_motor'!$E$641&gt;='_motor'!$B$669,'_motor'!$F$641&lt;'_motor'!$B$669),"1 · Entrada / determinante",IF(AND('_motor'!$E$641&gt;='_motor'!$B$669,'_motor'!$F$641&gt;='_motor'!$B$669),"2 · Intermedia / de enlace",IF(AND('_motor'!$E$641&lt;'_motor'!$B$669,'_motor'!$F$641&gt;='_motor'!$B$669),"3 · Resultado","4 · Excluida / autónoma")))))</f>
        <v/>
      </c>
      <c r="J61" s="19">
        <f>IF('_motor'!$B$641=0,"",IF(AND(ABS('_motor'!$E$641-'_motor'!$B$669)&lt;='_motor'!$B$677+0.000000001,ABS('_motor'!$F$641-'_motor'!$B$669)&lt;='_motor'!$B$677+0.000000001),"Reguladora",IF(AND('_motor'!$E$641&gt;='_motor'!$B$669,'_motor'!$F$641&lt;0.5*'_motor'!$B$669),"Determinante / entorno",IF(AND('_motor'!$E$641&gt;='_motor'!$B$669,'_motor'!$F$641&lt;'_motor'!$B$669),"Palanca secundaria",IF(AND('_motor'!$E$641&gt;='_motor'!$B$669,'_motor'!$F$641&gt;='_motor'!$B$669),"Clave / de enlace",IF(AND('_motor'!$F$641&gt;='_motor'!$B$669,'_motor'!$E$641&gt;=0.5*'_motor'!$B$669),"Objetivo",IF('_motor'!$F$641&gt;='_motor'!$B$669,"Resultado","Autónoma")))))))</f>
        <v/>
      </c>
      <c r="K61" s="19">
        <f>IF('_motor'!$B$641=0,"",'_motor'!$M$641-'_motor'!$O$641)</f>
        <v/>
      </c>
      <c r="L61" s="19">
        <f>IF('_motor'!$B$641=0,"",IF('_motor'!$O$641&lt;'_motor'!$M$641-2,"▲ VARIABLE OCULTA (sube "&amp;TEXT('_motor'!$M$641-'_motor'!$O$641,"0")&amp;" puestos)",IF('_motor'!$O$641&gt;'_motor'!$M$641+2,"▼ Sobrevalorada en directo (baja "&amp;TEXT('_motor'!$O$641-'_motor'!$M$641,"0")&amp;")","= Estable")))</f>
        <v/>
      </c>
    </row>
    <row r="62" spans="1:12" x14ac:dyDescent="0.2">
      <c r="A62" s="21">
        <f>IF('_motor'!$B$642=0,"",'02 · Variables'!$B$63)</f>
        <v/>
      </c>
      <c r="B62" s="19">
        <f>IF('_motor'!$B$642=0,"",'02 · Variables'!$C$63)</f>
        <v/>
      </c>
      <c r="C62" s="38">
        <f>IF('_motor'!$B$642=0,"",'_motor'!$E$642)</f>
        <v/>
      </c>
      <c r="D62" s="38">
        <f>IF('_motor'!$B$642=0,"",'_motor'!$F$642)</f>
        <v/>
      </c>
      <c r="E62" s="33">
        <f>IF(OR('_motor'!$B$642=0,'_motor'!$B$673=0),"",'_motor'!$E$642/'_motor'!$B$673)</f>
        <v/>
      </c>
      <c r="F62" s="33">
        <f>IF(OR('_motor'!$B$642=0,'_motor'!$B$673=0),"",'_motor'!$F$642/'_motor'!$B$673)</f>
        <v/>
      </c>
      <c r="G62" s="22">
        <f>IF('_motor'!$B$642=0,"",SUMPRODUCT('_motor'!$B$586:$B$665*('_motor'!$E$586:$E$665&gt;'_motor'!$E$642))+(SUMPRODUCT('_motor'!$B$586:$B$665*('_motor'!$E$586:$E$665='_motor'!$E$642))+1)/2)</f>
        <v/>
      </c>
      <c r="H62" s="22">
        <f>IF('_motor'!$B$642=0,"",SUMPRODUCT('_motor'!$B$586:$B$665*('_motor'!$F$586:$F$665&gt;'_motor'!$F$642))+(SUMPRODUCT('_motor'!$B$586:$B$665*('_motor'!$F$586:$F$665='_motor'!$F$642))+1)/2)</f>
        <v/>
      </c>
      <c r="I62" s="19">
        <f>IF('_motor'!$B$642=0,"",IF(AND(ABS('_motor'!$E$642-'_motor'!$B$669)&lt;='_motor'!$B$677+0.000000001,ABS('_motor'!$F$642-'_motor'!$B$669)&lt;='_motor'!$B$677+0.000000001),"5 · Pelotón (no concluyente)",IF(AND('_motor'!$E$642&gt;='_motor'!$B$669,'_motor'!$F$642&lt;'_motor'!$B$669),"1 · Entrada / determinante",IF(AND('_motor'!$E$642&gt;='_motor'!$B$669,'_motor'!$F$642&gt;='_motor'!$B$669),"2 · Intermedia / de enlace",IF(AND('_motor'!$E$642&lt;'_motor'!$B$669,'_motor'!$F$642&gt;='_motor'!$B$669),"3 · Resultado","4 · Excluida / autónoma")))))</f>
        <v/>
      </c>
      <c r="J62" s="19">
        <f>IF('_motor'!$B$642=0,"",IF(AND(ABS('_motor'!$E$642-'_motor'!$B$669)&lt;='_motor'!$B$677+0.000000001,ABS('_motor'!$F$642-'_motor'!$B$669)&lt;='_motor'!$B$677+0.000000001),"Reguladora",IF(AND('_motor'!$E$642&gt;='_motor'!$B$669,'_motor'!$F$642&lt;0.5*'_motor'!$B$669),"Determinante / entorno",IF(AND('_motor'!$E$642&gt;='_motor'!$B$669,'_motor'!$F$642&lt;'_motor'!$B$669),"Palanca secundaria",IF(AND('_motor'!$E$642&gt;='_motor'!$B$669,'_motor'!$F$642&gt;='_motor'!$B$669),"Clave / de enlace",IF(AND('_motor'!$F$642&gt;='_motor'!$B$669,'_motor'!$E$642&gt;=0.5*'_motor'!$B$669),"Objetivo",IF('_motor'!$F$642&gt;='_motor'!$B$669,"Resultado","Autónoma")))))))</f>
        <v/>
      </c>
      <c r="K62" s="19">
        <f>IF('_motor'!$B$642=0,"",'_motor'!$M$642-'_motor'!$O$642)</f>
        <v/>
      </c>
      <c r="L62" s="19">
        <f>IF('_motor'!$B$642=0,"",IF('_motor'!$O$642&lt;'_motor'!$M$642-2,"▲ VARIABLE OCULTA (sube "&amp;TEXT('_motor'!$M$642-'_motor'!$O$642,"0")&amp;" puestos)",IF('_motor'!$O$642&gt;'_motor'!$M$642+2,"▼ Sobrevalorada en directo (baja "&amp;TEXT('_motor'!$O$642-'_motor'!$M$642,"0")&amp;")","= Estable")))</f>
        <v/>
      </c>
    </row>
    <row r="63" spans="1:12" x14ac:dyDescent="0.2">
      <c r="A63" s="21">
        <f>IF('_motor'!$B$643=0,"",'02 · Variables'!$B$64)</f>
        <v/>
      </c>
      <c r="B63" s="19">
        <f>IF('_motor'!$B$643=0,"",'02 · Variables'!$C$64)</f>
        <v/>
      </c>
      <c r="C63" s="38">
        <f>IF('_motor'!$B$643=0,"",'_motor'!$E$643)</f>
        <v/>
      </c>
      <c r="D63" s="38">
        <f>IF('_motor'!$B$643=0,"",'_motor'!$F$643)</f>
        <v/>
      </c>
      <c r="E63" s="33">
        <f>IF(OR('_motor'!$B$643=0,'_motor'!$B$673=0),"",'_motor'!$E$643/'_motor'!$B$673)</f>
        <v/>
      </c>
      <c r="F63" s="33">
        <f>IF(OR('_motor'!$B$643=0,'_motor'!$B$673=0),"",'_motor'!$F$643/'_motor'!$B$673)</f>
        <v/>
      </c>
      <c r="G63" s="22">
        <f>IF('_motor'!$B$643=0,"",SUMPRODUCT('_motor'!$B$586:$B$665*('_motor'!$E$586:$E$665&gt;'_motor'!$E$643))+(SUMPRODUCT('_motor'!$B$586:$B$665*('_motor'!$E$586:$E$665='_motor'!$E$643))+1)/2)</f>
        <v/>
      </c>
      <c r="H63" s="22">
        <f>IF('_motor'!$B$643=0,"",SUMPRODUCT('_motor'!$B$586:$B$665*('_motor'!$F$586:$F$665&gt;'_motor'!$F$643))+(SUMPRODUCT('_motor'!$B$586:$B$665*('_motor'!$F$586:$F$665='_motor'!$F$643))+1)/2)</f>
        <v/>
      </c>
      <c r="I63" s="19">
        <f>IF('_motor'!$B$643=0,"",IF(AND(ABS('_motor'!$E$643-'_motor'!$B$669)&lt;='_motor'!$B$677+0.000000001,ABS('_motor'!$F$643-'_motor'!$B$669)&lt;='_motor'!$B$677+0.000000001),"5 · Pelotón (no concluyente)",IF(AND('_motor'!$E$643&gt;='_motor'!$B$669,'_motor'!$F$643&lt;'_motor'!$B$669),"1 · Entrada / determinante",IF(AND('_motor'!$E$643&gt;='_motor'!$B$669,'_motor'!$F$643&gt;='_motor'!$B$669),"2 · Intermedia / de enlace",IF(AND('_motor'!$E$643&lt;'_motor'!$B$669,'_motor'!$F$643&gt;='_motor'!$B$669),"3 · Resultado","4 · Excluida / autónoma")))))</f>
        <v/>
      </c>
      <c r="J63" s="19">
        <f>IF('_motor'!$B$643=0,"",IF(AND(ABS('_motor'!$E$643-'_motor'!$B$669)&lt;='_motor'!$B$677+0.000000001,ABS('_motor'!$F$643-'_motor'!$B$669)&lt;='_motor'!$B$677+0.000000001),"Reguladora",IF(AND('_motor'!$E$643&gt;='_motor'!$B$669,'_motor'!$F$643&lt;0.5*'_motor'!$B$669),"Determinante / entorno",IF(AND('_motor'!$E$643&gt;='_motor'!$B$669,'_motor'!$F$643&lt;'_motor'!$B$669),"Palanca secundaria",IF(AND('_motor'!$E$643&gt;='_motor'!$B$669,'_motor'!$F$643&gt;='_motor'!$B$669),"Clave / de enlace",IF(AND('_motor'!$F$643&gt;='_motor'!$B$669,'_motor'!$E$643&gt;=0.5*'_motor'!$B$669),"Objetivo",IF('_motor'!$F$643&gt;='_motor'!$B$669,"Resultado","Autónoma")))))))</f>
        <v/>
      </c>
      <c r="K63" s="19">
        <f>IF('_motor'!$B$643=0,"",'_motor'!$M$643-'_motor'!$O$643)</f>
        <v/>
      </c>
      <c r="L63" s="19">
        <f>IF('_motor'!$B$643=0,"",IF('_motor'!$O$643&lt;'_motor'!$M$643-2,"▲ VARIABLE OCULTA (sube "&amp;TEXT('_motor'!$M$643-'_motor'!$O$643,"0")&amp;" puestos)",IF('_motor'!$O$643&gt;'_motor'!$M$643+2,"▼ Sobrevalorada en directo (baja "&amp;TEXT('_motor'!$O$643-'_motor'!$M$643,"0")&amp;")","= Estable")))</f>
        <v/>
      </c>
    </row>
    <row r="64" spans="1:12" x14ac:dyDescent="0.2">
      <c r="A64" s="21">
        <f>IF('_motor'!$B$644=0,"",'02 · Variables'!$B$65)</f>
        <v/>
      </c>
      <c r="B64" s="19">
        <f>IF('_motor'!$B$644=0,"",'02 · Variables'!$C$65)</f>
        <v/>
      </c>
      <c r="C64" s="38">
        <f>IF('_motor'!$B$644=0,"",'_motor'!$E$644)</f>
        <v/>
      </c>
      <c r="D64" s="38">
        <f>IF('_motor'!$B$644=0,"",'_motor'!$F$644)</f>
        <v/>
      </c>
      <c r="E64" s="33">
        <f>IF(OR('_motor'!$B$644=0,'_motor'!$B$673=0),"",'_motor'!$E$644/'_motor'!$B$673)</f>
        <v/>
      </c>
      <c r="F64" s="33">
        <f>IF(OR('_motor'!$B$644=0,'_motor'!$B$673=0),"",'_motor'!$F$644/'_motor'!$B$673)</f>
        <v/>
      </c>
      <c r="G64" s="22">
        <f>IF('_motor'!$B$644=0,"",SUMPRODUCT('_motor'!$B$586:$B$665*('_motor'!$E$586:$E$665&gt;'_motor'!$E$644))+(SUMPRODUCT('_motor'!$B$586:$B$665*('_motor'!$E$586:$E$665='_motor'!$E$644))+1)/2)</f>
        <v/>
      </c>
      <c r="H64" s="22">
        <f>IF('_motor'!$B$644=0,"",SUMPRODUCT('_motor'!$B$586:$B$665*('_motor'!$F$586:$F$665&gt;'_motor'!$F$644))+(SUMPRODUCT('_motor'!$B$586:$B$665*('_motor'!$F$586:$F$665='_motor'!$F$644))+1)/2)</f>
        <v/>
      </c>
      <c r="I64" s="19">
        <f>IF('_motor'!$B$644=0,"",IF(AND(ABS('_motor'!$E$644-'_motor'!$B$669)&lt;='_motor'!$B$677+0.000000001,ABS('_motor'!$F$644-'_motor'!$B$669)&lt;='_motor'!$B$677+0.000000001),"5 · Pelotón (no concluyente)",IF(AND('_motor'!$E$644&gt;='_motor'!$B$669,'_motor'!$F$644&lt;'_motor'!$B$669),"1 · Entrada / determinante",IF(AND('_motor'!$E$644&gt;='_motor'!$B$669,'_motor'!$F$644&gt;='_motor'!$B$669),"2 · Intermedia / de enlace",IF(AND('_motor'!$E$644&lt;'_motor'!$B$669,'_motor'!$F$644&gt;='_motor'!$B$669),"3 · Resultado","4 · Excluida / autónoma")))))</f>
        <v/>
      </c>
      <c r="J64" s="19">
        <f>IF('_motor'!$B$644=0,"",IF(AND(ABS('_motor'!$E$644-'_motor'!$B$669)&lt;='_motor'!$B$677+0.000000001,ABS('_motor'!$F$644-'_motor'!$B$669)&lt;='_motor'!$B$677+0.000000001),"Reguladora",IF(AND('_motor'!$E$644&gt;='_motor'!$B$669,'_motor'!$F$644&lt;0.5*'_motor'!$B$669),"Determinante / entorno",IF(AND('_motor'!$E$644&gt;='_motor'!$B$669,'_motor'!$F$644&lt;'_motor'!$B$669),"Palanca secundaria",IF(AND('_motor'!$E$644&gt;='_motor'!$B$669,'_motor'!$F$644&gt;='_motor'!$B$669),"Clave / de enlace",IF(AND('_motor'!$F$644&gt;='_motor'!$B$669,'_motor'!$E$644&gt;=0.5*'_motor'!$B$669),"Objetivo",IF('_motor'!$F$644&gt;='_motor'!$B$669,"Resultado","Autónoma")))))))</f>
        <v/>
      </c>
      <c r="K64" s="19">
        <f>IF('_motor'!$B$644=0,"",'_motor'!$M$644-'_motor'!$O$644)</f>
        <v/>
      </c>
      <c r="L64" s="19">
        <f>IF('_motor'!$B$644=0,"",IF('_motor'!$O$644&lt;'_motor'!$M$644-2,"▲ VARIABLE OCULTA (sube "&amp;TEXT('_motor'!$M$644-'_motor'!$O$644,"0")&amp;" puestos)",IF('_motor'!$O$644&gt;'_motor'!$M$644+2,"▼ Sobrevalorada en directo (baja "&amp;TEXT('_motor'!$O$644-'_motor'!$M$644,"0")&amp;")","= Estable")))</f>
        <v/>
      </c>
    </row>
    <row r="65" spans="1:12" x14ac:dyDescent="0.2">
      <c r="A65" s="21">
        <f>IF('_motor'!$B$645=0,"",'02 · Variables'!$B$66)</f>
        <v/>
      </c>
      <c r="B65" s="19">
        <f>IF('_motor'!$B$645=0,"",'02 · Variables'!$C$66)</f>
        <v/>
      </c>
      <c r="C65" s="38">
        <f>IF('_motor'!$B$645=0,"",'_motor'!$E$645)</f>
        <v/>
      </c>
      <c r="D65" s="38">
        <f>IF('_motor'!$B$645=0,"",'_motor'!$F$645)</f>
        <v/>
      </c>
      <c r="E65" s="33">
        <f>IF(OR('_motor'!$B$645=0,'_motor'!$B$673=0),"",'_motor'!$E$645/'_motor'!$B$673)</f>
        <v/>
      </c>
      <c r="F65" s="33">
        <f>IF(OR('_motor'!$B$645=0,'_motor'!$B$673=0),"",'_motor'!$F$645/'_motor'!$B$673)</f>
        <v/>
      </c>
      <c r="G65" s="22">
        <f>IF('_motor'!$B$645=0,"",SUMPRODUCT('_motor'!$B$586:$B$665*('_motor'!$E$586:$E$665&gt;'_motor'!$E$645))+(SUMPRODUCT('_motor'!$B$586:$B$665*('_motor'!$E$586:$E$665='_motor'!$E$645))+1)/2)</f>
        <v/>
      </c>
      <c r="H65" s="22">
        <f>IF('_motor'!$B$645=0,"",SUMPRODUCT('_motor'!$B$586:$B$665*('_motor'!$F$586:$F$665&gt;'_motor'!$F$645))+(SUMPRODUCT('_motor'!$B$586:$B$665*('_motor'!$F$586:$F$665='_motor'!$F$645))+1)/2)</f>
        <v/>
      </c>
      <c r="I65" s="19">
        <f>IF('_motor'!$B$645=0,"",IF(AND(ABS('_motor'!$E$645-'_motor'!$B$669)&lt;='_motor'!$B$677+0.000000001,ABS('_motor'!$F$645-'_motor'!$B$669)&lt;='_motor'!$B$677+0.000000001),"5 · Pelotón (no concluyente)",IF(AND('_motor'!$E$645&gt;='_motor'!$B$669,'_motor'!$F$645&lt;'_motor'!$B$669),"1 · Entrada / determinante",IF(AND('_motor'!$E$645&gt;='_motor'!$B$669,'_motor'!$F$645&gt;='_motor'!$B$669),"2 · Intermedia / de enlace",IF(AND('_motor'!$E$645&lt;'_motor'!$B$669,'_motor'!$F$645&gt;='_motor'!$B$669),"3 · Resultado","4 · Excluida / autónoma")))))</f>
        <v/>
      </c>
      <c r="J65" s="19">
        <f>IF('_motor'!$B$645=0,"",IF(AND(ABS('_motor'!$E$645-'_motor'!$B$669)&lt;='_motor'!$B$677+0.000000001,ABS('_motor'!$F$645-'_motor'!$B$669)&lt;='_motor'!$B$677+0.000000001),"Reguladora",IF(AND('_motor'!$E$645&gt;='_motor'!$B$669,'_motor'!$F$645&lt;0.5*'_motor'!$B$669),"Determinante / entorno",IF(AND('_motor'!$E$645&gt;='_motor'!$B$669,'_motor'!$F$645&lt;'_motor'!$B$669),"Palanca secundaria",IF(AND('_motor'!$E$645&gt;='_motor'!$B$669,'_motor'!$F$645&gt;='_motor'!$B$669),"Clave / de enlace",IF(AND('_motor'!$F$645&gt;='_motor'!$B$669,'_motor'!$E$645&gt;=0.5*'_motor'!$B$669),"Objetivo",IF('_motor'!$F$645&gt;='_motor'!$B$669,"Resultado","Autónoma")))))))</f>
        <v/>
      </c>
      <c r="K65" s="19">
        <f>IF('_motor'!$B$645=0,"",'_motor'!$M$645-'_motor'!$O$645)</f>
        <v/>
      </c>
      <c r="L65" s="19">
        <f>IF('_motor'!$B$645=0,"",IF('_motor'!$O$645&lt;'_motor'!$M$645-2,"▲ VARIABLE OCULTA (sube "&amp;TEXT('_motor'!$M$645-'_motor'!$O$645,"0")&amp;" puestos)",IF('_motor'!$O$645&gt;'_motor'!$M$645+2,"▼ Sobrevalorada en directo (baja "&amp;TEXT('_motor'!$O$645-'_motor'!$M$645,"0")&amp;")","= Estable")))</f>
        <v/>
      </c>
    </row>
    <row r="66" spans="1:12" x14ac:dyDescent="0.2">
      <c r="A66" s="21">
        <f>IF('_motor'!$B$646=0,"",'02 · Variables'!$B$67)</f>
        <v/>
      </c>
      <c r="B66" s="19">
        <f>IF('_motor'!$B$646=0,"",'02 · Variables'!$C$67)</f>
        <v/>
      </c>
      <c r="C66" s="38">
        <f>IF('_motor'!$B$646=0,"",'_motor'!$E$646)</f>
        <v/>
      </c>
      <c r="D66" s="38">
        <f>IF('_motor'!$B$646=0,"",'_motor'!$F$646)</f>
        <v/>
      </c>
      <c r="E66" s="33">
        <f>IF(OR('_motor'!$B$646=0,'_motor'!$B$673=0),"",'_motor'!$E$646/'_motor'!$B$673)</f>
        <v/>
      </c>
      <c r="F66" s="33">
        <f>IF(OR('_motor'!$B$646=0,'_motor'!$B$673=0),"",'_motor'!$F$646/'_motor'!$B$673)</f>
        <v/>
      </c>
      <c r="G66" s="22">
        <f>IF('_motor'!$B$646=0,"",SUMPRODUCT('_motor'!$B$586:$B$665*('_motor'!$E$586:$E$665&gt;'_motor'!$E$646))+(SUMPRODUCT('_motor'!$B$586:$B$665*('_motor'!$E$586:$E$665='_motor'!$E$646))+1)/2)</f>
        <v/>
      </c>
      <c r="H66" s="22">
        <f>IF('_motor'!$B$646=0,"",SUMPRODUCT('_motor'!$B$586:$B$665*('_motor'!$F$586:$F$665&gt;'_motor'!$F$646))+(SUMPRODUCT('_motor'!$B$586:$B$665*('_motor'!$F$586:$F$665='_motor'!$F$646))+1)/2)</f>
        <v/>
      </c>
      <c r="I66" s="19">
        <f>IF('_motor'!$B$646=0,"",IF(AND(ABS('_motor'!$E$646-'_motor'!$B$669)&lt;='_motor'!$B$677+0.000000001,ABS('_motor'!$F$646-'_motor'!$B$669)&lt;='_motor'!$B$677+0.000000001),"5 · Pelotón (no concluyente)",IF(AND('_motor'!$E$646&gt;='_motor'!$B$669,'_motor'!$F$646&lt;'_motor'!$B$669),"1 · Entrada / determinante",IF(AND('_motor'!$E$646&gt;='_motor'!$B$669,'_motor'!$F$646&gt;='_motor'!$B$669),"2 · Intermedia / de enlace",IF(AND('_motor'!$E$646&lt;'_motor'!$B$669,'_motor'!$F$646&gt;='_motor'!$B$669),"3 · Resultado","4 · Excluida / autónoma")))))</f>
        <v/>
      </c>
      <c r="J66" s="19">
        <f>IF('_motor'!$B$646=0,"",IF(AND(ABS('_motor'!$E$646-'_motor'!$B$669)&lt;='_motor'!$B$677+0.000000001,ABS('_motor'!$F$646-'_motor'!$B$669)&lt;='_motor'!$B$677+0.000000001),"Reguladora",IF(AND('_motor'!$E$646&gt;='_motor'!$B$669,'_motor'!$F$646&lt;0.5*'_motor'!$B$669),"Determinante / entorno",IF(AND('_motor'!$E$646&gt;='_motor'!$B$669,'_motor'!$F$646&lt;'_motor'!$B$669),"Palanca secundaria",IF(AND('_motor'!$E$646&gt;='_motor'!$B$669,'_motor'!$F$646&gt;='_motor'!$B$669),"Clave / de enlace",IF(AND('_motor'!$F$646&gt;='_motor'!$B$669,'_motor'!$E$646&gt;=0.5*'_motor'!$B$669),"Objetivo",IF('_motor'!$F$646&gt;='_motor'!$B$669,"Resultado","Autónoma")))))))</f>
        <v/>
      </c>
      <c r="K66" s="19">
        <f>IF('_motor'!$B$646=0,"",'_motor'!$M$646-'_motor'!$O$646)</f>
        <v/>
      </c>
      <c r="L66" s="19">
        <f>IF('_motor'!$B$646=0,"",IF('_motor'!$O$646&lt;'_motor'!$M$646-2,"▲ VARIABLE OCULTA (sube "&amp;TEXT('_motor'!$M$646-'_motor'!$O$646,"0")&amp;" puestos)",IF('_motor'!$O$646&gt;'_motor'!$M$646+2,"▼ Sobrevalorada en directo (baja "&amp;TEXT('_motor'!$O$646-'_motor'!$M$646,"0")&amp;")","= Estable")))</f>
        <v/>
      </c>
    </row>
    <row r="67" spans="1:12" x14ac:dyDescent="0.2">
      <c r="A67" s="21">
        <f>IF('_motor'!$B$647=0,"",'02 · Variables'!$B$68)</f>
        <v/>
      </c>
      <c r="B67" s="19">
        <f>IF('_motor'!$B$647=0,"",'02 · Variables'!$C$68)</f>
        <v/>
      </c>
      <c r="C67" s="38">
        <f>IF('_motor'!$B$647=0,"",'_motor'!$E$647)</f>
        <v/>
      </c>
      <c r="D67" s="38">
        <f>IF('_motor'!$B$647=0,"",'_motor'!$F$647)</f>
        <v/>
      </c>
      <c r="E67" s="33">
        <f>IF(OR('_motor'!$B$647=0,'_motor'!$B$673=0),"",'_motor'!$E$647/'_motor'!$B$673)</f>
        <v/>
      </c>
      <c r="F67" s="33">
        <f>IF(OR('_motor'!$B$647=0,'_motor'!$B$673=0),"",'_motor'!$F$647/'_motor'!$B$673)</f>
        <v/>
      </c>
      <c r="G67" s="22">
        <f>IF('_motor'!$B$647=0,"",SUMPRODUCT('_motor'!$B$586:$B$665*('_motor'!$E$586:$E$665&gt;'_motor'!$E$647))+(SUMPRODUCT('_motor'!$B$586:$B$665*('_motor'!$E$586:$E$665='_motor'!$E$647))+1)/2)</f>
        <v/>
      </c>
      <c r="H67" s="22">
        <f>IF('_motor'!$B$647=0,"",SUMPRODUCT('_motor'!$B$586:$B$665*('_motor'!$F$586:$F$665&gt;'_motor'!$F$647))+(SUMPRODUCT('_motor'!$B$586:$B$665*('_motor'!$F$586:$F$665='_motor'!$F$647))+1)/2)</f>
        <v/>
      </c>
      <c r="I67" s="19">
        <f>IF('_motor'!$B$647=0,"",IF(AND(ABS('_motor'!$E$647-'_motor'!$B$669)&lt;='_motor'!$B$677+0.000000001,ABS('_motor'!$F$647-'_motor'!$B$669)&lt;='_motor'!$B$677+0.000000001),"5 · Pelotón (no concluyente)",IF(AND('_motor'!$E$647&gt;='_motor'!$B$669,'_motor'!$F$647&lt;'_motor'!$B$669),"1 · Entrada / determinante",IF(AND('_motor'!$E$647&gt;='_motor'!$B$669,'_motor'!$F$647&gt;='_motor'!$B$669),"2 · Intermedia / de enlace",IF(AND('_motor'!$E$647&lt;'_motor'!$B$669,'_motor'!$F$647&gt;='_motor'!$B$669),"3 · Resultado","4 · Excluida / autónoma")))))</f>
        <v/>
      </c>
      <c r="J67" s="19">
        <f>IF('_motor'!$B$647=0,"",IF(AND(ABS('_motor'!$E$647-'_motor'!$B$669)&lt;='_motor'!$B$677+0.000000001,ABS('_motor'!$F$647-'_motor'!$B$669)&lt;='_motor'!$B$677+0.000000001),"Reguladora",IF(AND('_motor'!$E$647&gt;='_motor'!$B$669,'_motor'!$F$647&lt;0.5*'_motor'!$B$669),"Determinante / entorno",IF(AND('_motor'!$E$647&gt;='_motor'!$B$669,'_motor'!$F$647&lt;'_motor'!$B$669),"Palanca secundaria",IF(AND('_motor'!$E$647&gt;='_motor'!$B$669,'_motor'!$F$647&gt;='_motor'!$B$669),"Clave / de enlace",IF(AND('_motor'!$F$647&gt;='_motor'!$B$669,'_motor'!$E$647&gt;=0.5*'_motor'!$B$669),"Objetivo",IF('_motor'!$F$647&gt;='_motor'!$B$669,"Resultado","Autónoma")))))))</f>
        <v/>
      </c>
      <c r="K67" s="19">
        <f>IF('_motor'!$B$647=0,"",'_motor'!$M$647-'_motor'!$O$647)</f>
        <v/>
      </c>
      <c r="L67" s="19">
        <f>IF('_motor'!$B$647=0,"",IF('_motor'!$O$647&lt;'_motor'!$M$647-2,"▲ VARIABLE OCULTA (sube "&amp;TEXT('_motor'!$M$647-'_motor'!$O$647,"0")&amp;" puestos)",IF('_motor'!$O$647&gt;'_motor'!$M$647+2,"▼ Sobrevalorada en directo (baja "&amp;TEXT('_motor'!$O$647-'_motor'!$M$647,"0")&amp;")","= Estable")))</f>
        <v/>
      </c>
    </row>
    <row r="68" spans="1:12" x14ac:dyDescent="0.2">
      <c r="A68" s="21">
        <f>IF('_motor'!$B$648=0,"",'02 · Variables'!$B$69)</f>
        <v/>
      </c>
      <c r="B68" s="19">
        <f>IF('_motor'!$B$648=0,"",'02 · Variables'!$C$69)</f>
        <v/>
      </c>
      <c r="C68" s="38">
        <f>IF('_motor'!$B$648=0,"",'_motor'!$E$648)</f>
        <v/>
      </c>
      <c r="D68" s="38">
        <f>IF('_motor'!$B$648=0,"",'_motor'!$F$648)</f>
        <v/>
      </c>
      <c r="E68" s="33">
        <f>IF(OR('_motor'!$B$648=0,'_motor'!$B$673=0),"",'_motor'!$E$648/'_motor'!$B$673)</f>
        <v/>
      </c>
      <c r="F68" s="33">
        <f>IF(OR('_motor'!$B$648=0,'_motor'!$B$673=0),"",'_motor'!$F$648/'_motor'!$B$673)</f>
        <v/>
      </c>
      <c r="G68" s="22">
        <f>IF('_motor'!$B$648=0,"",SUMPRODUCT('_motor'!$B$586:$B$665*('_motor'!$E$586:$E$665&gt;'_motor'!$E$648))+(SUMPRODUCT('_motor'!$B$586:$B$665*('_motor'!$E$586:$E$665='_motor'!$E$648))+1)/2)</f>
        <v/>
      </c>
      <c r="H68" s="22">
        <f>IF('_motor'!$B$648=0,"",SUMPRODUCT('_motor'!$B$586:$B$665*('_motor'!$F$586:$F$665&gt;'_motor'!$F$648))+(SUMPRODUCT('_motor'!$B$586:$B$665*('_motor'!$F$586:$F$665='_motor'!$F$648))+1)/2)</f>
        <v/>
      </c>
      <c r="I68" s="19">
        <f>IF('_motor'!$B$648=0,"",IF(AND(ABS('_motor'!$E$648-'_motor'!$B$669)&lt;='_motor'!$B$677+0.000000001,ABS('_motor'!$F$648-'_motor'!$B$669)&lt;='_motor'!$B$677+0.000000001),"5 · Pelotón (no concluyente)",IF(AND('_motor'!$E$648&gt;='_motor'!$B$669,'_motor'!$F$648&lt;'_motor'!$B$669),"1 · Entrada / determinante",IF(AND('_motor'!$E$648&gt;='_motor'!$B$669,'_motor'!$F$648&gt;='_motor'!$B$669),"2 · Intermedia / de enlace",IF(AND('_motor'!$E$648&lt;'_motor'!$B$669,'_motor'!$F$648&gt;='_motor'!$B$669),"3 · Resultado","4 · Excluida / autónoma")))))</f>
        <v/>
      </c>
      <c r="J68" s="19">
        <f>IF('_motor'!$B$648=0,"",IF(AND(ABS('_motor'!$E$648-'_motor'!$B$669)&lt;='_motor'!$B$677+0.000000001,ABS('_motor'!$F$648-'_motor'!$B$669)&lt;='_motor'!$B$677+0.000000001),"Reguladora",IF(AND('_motor'!$E$648&gt;='_motor'!$B$669,'_motor'!$F$648&lt;0.5*'_motor'!$B$669),"Determinante / entorno",IF(AND('_motor'!$E$648&gt;='_motor'!$B$669,'_motor'!$F$648&lt;'_motor'!$B$669),"Palanca secundaria",IF(AND('_motor'!$E$648&gt;='_motor'!$B$669,'_motor'!$F$648&gt;='_motor'!$B$669),"Clave / de enlace",IF(AND('_motor'!$F$648&gt;='_motor'!$B$669,'_motor'!$E$648&gt;=0.5*'_motor'!$B$669),"Objetivo",IF('_motor'!$F$648&gt;='_motor'!$B$669,"Resultado","Autónoma")))))))</f>
        <v/>
      </c>
      <c r="K68" s="19">
        <f>IF('_motor'!$B$648=0,"",'_motor'!$M$648-'_motor'!$O$648)</f>
        <v/>
      </c>
      <c r="L68" s="19">
        <f>IF('_motor'!$B$648=0,"",IF('_motor'!$O$648&lt;'_motor'!$M$648-2,"▲ VARIABLE OCULTA (sube "&amp;TEXT('_motor'!$M$648-'_motor'!$O$648,"0")&amp;" puestos)",IF('_motor'!$O$648&gt;'_motor'!$M$648+2,"▼ Sobrevalorada en directo (baja "&amp;TEXT('_motor'!$O$648-'_motor'!$M$648,"0")&amp;")","= Estable")))</f>
        <v/>
      </c>
    </row>
    <row r="69" spans="1:12" x14ac:dyDescent="0.2">
      <c r="A69" s="21">
        <f>IF('_motor'!$B$649=0,"",'02 · Variables'!$B$70)</f>
        <v/>
      </c>
      <c r="B69" s="19">
        <f>IF('_motor'!$B$649=0,"",'02 · Variables'!$C$70)</f>
        <v/>
      </c>
      <c r="C69" s="38">
        <f>IF('_motor'!$B$649=0,"",'_motor'!$E$649)</f>
        <v/>
      </c>
      <c r="D69" s="38">
        <f>IF('_motor'!$B$649=0,"",'_motor'!$F$649)</f>
        <v/>
      </c>
      <c r="E69" s="33">
        <f>IF(OR('_motor'!$B$649=0,'_motor'!$B$673=0),"",'_motor'!$E$649/'_motor'!$B$673)</f>
        <v/>
      </c>
      <c r="F69" s="33">
        <f>IF(OR('_motor'!$B$649=0,'_motor'!$B$673=0),"",'_motor'!$F$649/'_motor'!$B$673)</f>
        <v/>
      </c>
      <c r="G69" s="22">
        <f>IF('_motor'!$B$649=0,"",SUMPRODUCT('_motor'!$B$586:$B$665*('_motor'!$E$586:$E$665&gt;'_motor'!$E$649))+(SUMPRODUCT('_motor'!$B$586:$B$665*('_motor'!$E$586:$E$665='_motor'!$E$649))+1)/2)</f>
        <v/>
      </c>
      <c r="H69" s="22">
        <f>IF('_motor'!$B$649=0,"",SUMPRODUCT('_motor'!$B$586:$B$665*('_motor'!$F$586:$F$665&gt;'_motor'!$F$649))+(SUMPRODUCT('_motor'!$B$586:$B$665*('_motor'!$F$586:$F$665='_motor'!$F$649))+1)/2)</f>
        <v/>
      </c>
      <c r="I69" s="19">
        <f>IF('_motor'!$B$649=0,"",IF(AND(ABS('_motor'!$E$649-'_motor'!$B$669)&lt;='_motor'!$B$677+0.000000001,ABS('_motor'!$F$649-'_motor'!$B$669)&lt;='_motor'!$B$677+0.000000001),"5 · Pelotón (no concluyente)",IF(AND('_motor'!$E$649&gt;='_motor'!$B$669,'_motor'!$F$649&lt;'_motor'!$B$669),"1 · Entrada / determinante",IF(AND('_motor'!$E$649&gt;='_motor'!$B$669,'_motor'!$F$649&gt;='_motor'!$B$669),"2 · Intermedia / de enlace",IF(AND('_motor'!$E$649&lt;'_motor'!$B$669,'_motor'!$F$649&gt;='_motor'!$B$669),"3 · Resultado","4 · Excluida / autónoma")))))</f>
        <v/>
      </c>
      <c r="J69" s="19">
        <f>IF('_motor'!$B$649=0,"",IF(AND(ABS('_motor'!$E$649-'_motor'!$B$669)&lt;='_motor'!$B$677+0.000000001,ABS('_motor'!$F$649-'_motor'!$B$669)&lt;='_motor'!$B$677+0.000000001),"Reguladora",IF(AND('_motor'!$E$649&gt;='_motor'!$B$669,'_motor'!$F$649&lt;0.5*'_motor'!$B$669),"Determinante / entorno",IF(AND('_motor'!$E$649&gt;='_motor'!$B$669,'_motor'!$F$649&lt;'_motor'!$B$669),"Palanca secundaria",IF(AND('_motor'!$E$649&gt;='_motor'!$B$669,'_motor'!$F$649&gt;='_motor'!$B$669),"Clave / de enlace",IF(AND('_motor'!$F$649&gt;='_motor'!$B$669,'_motor'!$E$649&gt;=0.5*'_motor'!$B$669),"Objetivo",IF('_motor'!$F$649&gt;='_motor'!$B$669,"Resultado","Autónoma")))))))</f>
        <v/>
      </c>
      <c r="K69" s="19">
        <f>IF('_motor'!$B$649=0,"",'_motor'!$M$649-'_motor'!$O$649)</f>
        <v/>
      </c>
      <c r="L69" s="19">
        <f>IF('_motor'!$B$649=0,"",IF('_motor'!$O$649&lt;'_motor'!$M$649-2,"▲ VARIABLE OCULTA (sube "&amp;TEXT('_motor'!$M$649-'_motor'!$O$649,"0")&amp;" puestos)",IF('_motor'!$O$649&gt;'_motor'!$M$649+2,"▼ Sobrevalorada en directo (baja "&amp;TEXT('_motor'!$O$649-'_motor'!$M$649,"0")&amp;")","= Estable")))</f>
        <v/>
      </c>
    </row>
    <row r="70" spans="1:12" x14ac:dyDescent="0.2">
      <c r="A70" s="21">
        <f>IF('_motor'!$B$650=0,"",'02 · Variables'!$B$71)</f>
        <v/>
      </c>
      <c r="B70" s="19">
        <f>IF('_motor'!$B$650=0,"",'02 · Variables'!$C$71)</f>
        <v/>
      </c>
      <c r="C70" s="38">
        <f>IF('_motor'!$B$650=0,"",'_motor'!$E$650)</f>
        <v/>
      </c>
      <c r="D70" s="38">
        <f>IF('_motor'!$B$650=0,"",'_motor'!$F$650)</f>
        <v/>
      </c>
      <c r="E70" s="33">
        <f>IF(OR('_motor'!$B$650=0,'_motor'!$B$673=0),"",'_motor'!$E$650/'_motor'!$B$673)</f>
        <v/>
      </c>
      <c r="F70" s="33">
        <f>IF(OR('_motor'!$B$650=0,'_motor'!$B$673=0),"",'_motor'!$F$650/'_motor'!$B$673)</f>
        <v/>
      </c>
      <c r="G70" s="22">
        <f>IF('_motor'!$B$650=0,"",SUMPRODUCT('_motor'!$B$586:$B$665*('_motor'!$E$586:$E$665&gt;'_motor'!$E$650))+(SUMPRODUCT('_motor'!$B$586:$B$665*('_motor'!$E$586:$E$665='_motor'!$E$650))+1)/2)</f>
        <v/>
      </c>
      <c r="H70" s="22">
        <f>IF('_motor'!$B$650=0,"",SUMPRODUCT('_motor'!$B$586:$B$665*('_motor'!$F$586:$F$665&gt;'_motor'!$F$650))+(SUMPRODUCT('_motor'!$B$586:$B$665*('_motor'!$F$586:$F$665='_motor'!$F$650))+1)/2)</f>
        <v/>
      </c>
      <c r="I70" s="19">
        <f>IF('_motor'!$B$650=0,"",IF(AND(ABS('_motor'!$E$650-'_motor'!$B$669)&lt;='_motor'!$B$677+0.000000001,ABS('_motor'!$F$650-'_motor'!$B$669)&lt;='_motor'!$B$677+0.000000001),"5 · Pelotón (no concluyente)",IF(AND('_motor'!$E$650&gt;='_motor'!$B$669,'_motor'!$F$650&lt;'_motor'!$B$669),"1 · Entrada / determinante",IF(AND('_motor'!$E$650&gt;='_motor'!$B$669,'_motor'!$F$650&gt;='_motor'!$B$669),"2 · Intermedia / de enlace",IF(AND('_motor'!$E$650&lt;'_motor'!$B$669,'_motor'!$F$650&gt;='_motor'!$B$669),"3 · Resultado","4 · Excluida / autónoma")))))</f>
        <v/>
      </c>
      <c r="J70" s="19">
        <f>IF('_motor'!$B$650=0,"",IF(AND(ABS('_motor'!$E$650-'_motor'!$B$669)&lt;='_motor'!$B$677+0.000000001,ABS('_motor'!$F$650-'_motor'!$B$669)&lt;='_motor'!$B$677+0.000000001),"Reguladora",IF(AND('_motor'!$E$650&gt;='_motor'!$B$669,'_motor'!$F$650&lt;0.5*'_motor'!$B$669),"Determinante / entorno",IF(AND('_motor'!$E$650&gt;='_motor'!$B$669,'_motor'!$F$650&lt;'_motor'!$B$669),"Palanca secundaria",IF(AND('_motor'!$E$650&gt;='_motor'!$B$669,'_motor'!$F$650&gt;='_motor'!$B$669),"Clave / de enlace",IF(AND('_motor'!$F$650&gt;='_motor'!$B$669,'_motor'!$E$650&gt;=0.5*'_motor'!$B$669),"Objetivo",IF('_motor'!$F$650&gt;='_motor'!$B$669,"Resultado","Autónoma")))))))</f>
        <v/>
      </c>
      <c r="K70" s="19">
        <f>IF('_motor'!$B$650=0,"",'_motor'!$M$650-'_motor'!$O$650)</f>
        <v/>
      </c>
      <c r="L70" s="19">
        <f>IF('_motor'!$B$650=0,"",IF('_motor'!$O$650&lt;'_motor'!$M$650-2,"▲ VARIABLE OCULTA (sube "&amp;TEXT('_motor'!$M$650-'_motor'!$O$650,"0")&amp;" puestos)",IF('_motor'!$O$650&gt;'_motor'!$M$650+2,"▼ Sobrevalorada en directo (baja "&amp;TEXT('_motor'!$O$650-'_motor'!$M$650,"0")&amp;")","= Estable")))</f>
        <v/>
      </c>
    </row>
    <row r="71" spans="1:12" x14ac:dyDescent="0.2">
      <c r="A71" s="21">
        <f>IF('_motor'!$B$651=0,"",'02 · Variables'!$B$72)</f>
        <v/>
      </c>
      <c r="B71" s="19">
        <f>IF('_motor'!$B$651=0,"",'02 · Variables'!$C$72)</f>
        <v/>
      </c>
      <c r="C71" s="38">
        <f>IF('_motor'!$B$651=0,"",'_motor'!$E$651)</f>
        <v/>
      </c>
      <c r="D71" s="38">
        <f>IF('_motor'!$B$651=0,"",'_motor'!$F$651)</f>
        <v/>
      </c>
      <c r="E71" s="33">
        <f>IF(OR('_motor'!$B$651=0,'_motor'!$B$673=0),"",'_motor'!$E$651/'_motor'!$B$673)</f>
        <v/>
      </c>
      <c r="F71" s="33">
        <f>IF(OR('_motor'!$B$651=0,'_motor'!$B$673=0),"",'_motor'!$F$651/'_motor'!$B$673)</f>
        <v/>
      </c>
      <c r="G71" s="22">
        <f>IF('_motor'!$B$651=0,"",SUMPRODUCT('_motor'!$B$586:$B$665*('_motor'!$E$586:$E$665&gt;'_motor'!$E$651))+(SUMPRODUCT('_motor'!$B$586:$B$665*('_motor'!$E$586:$E$665='_motor'!$E$651))+1)/2)</f>
        <v/>
      </c>
      <c r="H71" s="22">
        <f>IF('_motor'!$B$651=0,"",SUMPRODUCT('_motor'!$B$586:$B$665*('_motor'!$F$586:$F$665&gt;'_motor'!$F$651))+(SUMPRODUCT('_motor'!$B$586:$B$665*('_motor'!$F$586:$F$665='_motor'!$F$651))+1)/2)</f>
        <v/>
      </c>
      <c r="I71" s="19">
        <f>IF('_motor'!$B$651=0,"",IF(AND(ABS('_motor'!$E$651-'_motor'!$B$669)&lt;='_motor'!$B$677+0.000000001,ABS('_motor'!$F$651-'_motor'!$B$669)&lt;='_motor'!$B$677+0.000000001),"5 · Pelotón (no concluyente)",IF(AND('_motor'!$E$651&gt;='_motor'!$B$669,'_motor'!$F$651&lt;'_motor'!$B$669),"1 · Entrada / determinante",IF(AND('_motor'!$E$651&gt;='_motor'!$B$669,'_motor'!$F$651&gt;='_motor'!$B$669),"2 · Intermedia / de enlace",IF(AND('_motor'!$E$651&lt;'_motor'!$B$669,'_motor'!$F$651&gt;='_motor'!$B$669),"3 · Resultado","4 · Excluida / autónoma")))))</f>
        <v/>
      </c>
      <c r="J71" s="19">
        <f>IF('_motor'!$B$651=0,"",IF(AND(ABS('_motor'!$E$651-'_motor'!$B$669)&lt;='_motor'!$B$677+0.000000001,ABS('_motor'!$F$651-'_motor'!$B$669)&lt;='_motor'!$B$677+0.000000001),"Reguladora",IF(AND('_motor'!$E$651&gt;='_motor'!$B$669,'_motor'!$F$651&lt;0.5*'_motor'!$B$669),"Determinante / entorno",IF(AND('_motor'!$E$651&gt;='_motor'!$B$669,'_motor'!$F$651&lt;'_motor'!$B$669),"Palanca secundaria",IF(AND('_motor'!$E$651&gt;='_motor'!$B$669,'_motor'!$F$651&gt;='_motor'!$B$669),"Clave / de enlace",IF(AND('_motor'!$F$651&gt;='_motor'!$B$669,'_motor'!$E$651&gt;=0.5*'_motor'!$B$669),"Objetivo",IF('_motor'!$F$651&gt;='_motor'!$B$669,"Resultado","Autónoma")))))))</f>
        <v/>
      </c>
      <c r="K71" s="19">
        <f>IF('_motor'!$B$651=0,"",'_motor'!$M$651-'_motor'!$O$651)</f>
        <v/>
      </c>
      <c r="L71" s="19">
        <f>IF('_motor'!$B$651=0,"",IF('_motor'!$O$651&lt;'_motor'!$M$651-2,"▲ VARIABLE OCULTA (sube "&amp;TEXT('_motor'!$M$651-'_motor'!$O$651,"0")&amp;" puestos)",IF('_motor'!$O$651&gt;'_motor'!$M$651+2,"▼ Sobrevalorada en directo (baja "&amp;TEXT('_motor'!$O$651-'_motor'!$M$651,"0")&amp;")","= Estable")))</f>
        <v/>
      </c>
    </row>
    <row r="72" spans="1:12" x14ac:dyDescent="0.2">
      <c r="A72" s="21">
        <f>IF('_motor'!$B$652=0,"",'02 · Variables'!$B$73)</f>
        <v/>
      </c>
      <c r="B72" s="19">
        <f>IF('_motor'!$B$652=0,"",'02 · Variables'!$C$73)</f>
        <v/>
      </c>
      <c r="C72" s="38">
        <f>IF('_motor'!$B$652=0,"",'_motor'!$E$652)</f>
        <v/>
      </c>
      <c r="D72" s="38">
        <f>IF('_motor'!$B$652=0,"",'_motor'!$F$652)</f>
        <v/>
      </c>
      <c r="E72" s="33">
        <f>IF(OR('_motor'!$B$652=0,'_motor'!$B$673=0),"",'_motor'!$E$652/'_motor'!$B$673)</f>
        <v/>
      </c>
      <c r="F72" s="33">
        <f>IF(OR('_motor'!$B$652=0,'_motor'!$B$673=0),"",'_motor'!$F$652/'_motor'!$B$673)</f>
        <v/>
      </c>
      <c r="G72" s="22">
        <f>IF('_motor'!$B$652=0,"",SUMPRODUCT('_motor'!$B$586:$B$665*('_motor'!$E$586:$E$665&gt;'_motor'!$E$652))+(SUMPRODUCT('_motor'!$B$586:$B$665*('_motor'!$E$586:$E$665='_motor'!$E$652))+1)/2)</f>
        <v/>
      </c>
      <c r="H72" s="22">
        <f>IF('_motor'!$B$652=0,"",SUMPRODUCT('_motor'!$B$586:$B$665*('_motor'!$F$586:$F$665&gt;'_motor'!$F$652))+(SUMPRODUCT('_motor'!$B$586:$B$665*('_motor'!$F$586:$F$665='_motor'!$F$652))+1)/2)</f>
        <v/>
      </c>
      <c r="I72" s="19">
        <f>IF('_motor'!$B$652=0,"",IF(AND(ABS('_motor'!$E$652-'_motor'!$B$669)&lt;='_motor'!$B$677+0.000000001,ABS('_motor'!$F$652-'_motor'!$B$669)&lt;='_motor'!$B$677+0.000000001),"5 · Pelotón (no concluyente)",IF(AND('_motor'!$E$652&gt;='_motor'!$B$669,'_motor'!$F$652&lt;'_motor'!$B$669),"1 · Entrada / determinante",IF(AND('_motor'!$E$652&gt;='_motor'!$B$669,'_motor'!$F$652&gt;='_motor'!$B$669),"2 · Intermedia / de enlace",IF(AND('_motor'!$E$652&lt;'_motor'!$B$669,'_motor'!$F$652&gt;='_motor'!$B$669),"3 · Resultado","4 · Excluida / autónoma")))))</f>
        <v/>
      </c>
      <c r="J72" s="19">
        <f>IF('_motor'!$B$652=0,"",IF(AND(ABS('_motor'!$E$652-'_motor'!$B$669)&lt;='_motor'!$B$677+0.000000001,ABS('_motor'!$F$652-'_motor'!$B$669)&lt;='_motor'!$B$677+0.000000001),"Reguladora",IF(AND('_motor'!$E$652&gt;='_motor'!$B$669,'_motor'!$F$652&lt;0.5*'_motor'!$B$669),"Determinante / entorno",IF(AND('_motor'!$E$652&gt;='_motor'!$B$669,'_motor'!$F$652&lt;'_motor'!$B$669),"Palanca secundaria",IF(AND('_motor'!$E$652&gt;='_motor'!$B$669,'_motor'!$F$652&gt;='_motor'!$B$669),"Clave / de enlace",IF(AND('_motor'!$F$652&gt;='_motor'!$B$669,'_motor'!$E$652&gt;=0.5*'_motor'!$B$669),"Objetivo",IF('_motor'!$F$652&gt;='_motor'!$B$669,"Resultado","Autónoma")))))))</f>
        <v/>
      </c>
      <c r="K72" s="19">
        <f>IF('_motor'!$B$652=0,"",'_motor'!$M$652-'_motor'!$O$652)</f>
        <v/>
      </c>
      <c r="L72" s="19">
        <f>IF('_motor'!$B$652=0,"",IF('_motor'!$O$652&lt;'_motor'!$M$652-2,"▲ VARIABLE OCULTA (sube "&amp;TEXT('_motor'!$M$652-'_motor'!$O$652,"0")&amp;" puestos)",IF('_motor'!$O$652&gt;'_motor'!$M$652+2,"▼ Sobrevalorada en directo (baja "&amp;TEXT('_motor'!$O$652-'_motor'!$M$652,"0")&amp;")","= Estable")))</f>
        <v/>
      </c>
    </row>
    <row r="73" spans="1:12" x14ac:dyDescent="0.2">
      <c r="A73" s="21">
        <f>IF('_motor'!$B$653=0,"",'02 · Variables'!$B$74)</f>
        <v/>
      </c>
      <c r="B73" s="19">
        <f>IF('_motor'!$B$653=0,"",'02 · Variables'!$C$74)</f>
        <v/>
      </c>
      <c r="C73" s="38">
        <f>IF('_motor'!$B$653=0,"",'_motor'!$E$653)</f>
        <v/>
      </c>
      <c r="D73" s="38">
        <f>IF('_motor'!$B$653=0,"",'_motor'!$F$653)</f>
        <v/>
      </c>
      <c r="E73" s="33">
        <f>IF(OR('_motor'!$B$653=0,'_motor'!$B$673=0),"",'_motor'!$E$653/'_motor'!$B$673)</f>
        <v/>
      </c>
      <c r="F73" s="33">
        <f>IF(OR('_motor'!$B$653=0,'_motor'!$B$673=0),"",'_motor'!$F$653/'_motor'!$B$673)</f>
        <v/>
      </c>
      <c r="G73" s="22">
        <f>IF('_motor'!$B$653=0,"",SUMPRODUCT('_motor'!$B$586:$B$665*('_motor'!$E$586:$E$665&gt;'_motor'!$E$653))+(SUMPRODUCT('_motor'!$B$586:$B$665*('_motor'!$E$586:$E$665='_motor'!$E$653))+1)/2)</f>
        <v/>
      </c>
      <c r="H73" s="22">
        <f>IF('_motor'!$B$653=0,"",SUMPRODUCT('_motor'!$B$586:$B$665*('_motor'!$F$586:$F$665&gt;'_motor'!$F$653))+(SUMPRODUCT('_motor'!$B$586:$B$665*('_motor'!$F$586:$F$665='_motor'!$F$653))+1)/2)</f>
        <v/>
      </c>
      <c r="I73" s="19">
        <f>IF('_motor'!$B$653=0,"",IF(AND(ABS('_motor'!$E$653-'_motor'!$B$669)&lt;='_motor'!$B$677+0.000000001,ABS('_motor'!$F$653-'_motor'!$B$669)&lt;='_motor'!$B$677+0.000000001),"5 · Pelotón (no concluyente)",IF(AND('_motor'!$E$653&gt;='_motor'!$B$669,'_motor'!$F$653&lt;'_motor'!$B$669),"1 · Entrada / determinante",IF(AND('_motor'!$E$653&gt;='_motor'!$B$669,'_motor'!$F$653&gt;='_motor'!$B$669),"2 · Intermedia / de enlace",IF(AND('_motor'!$E$653&lt;'_motor'!$B$669,'_motor'!$F$653&gt;='_motor'!$B$669),"3 · Resultado","4 · Excluida / autónoma")))))</f>
        <v/>
      </c>
      <c r="J73" s="19">
        <f>IF('_motor'!$B$653=0,"",IF(AND(ABS('_motor'!$E$653-'_motor'!$B$669)&lt;='_motor'!$B$677+0.000000001,ABS('_motor'!$F$653-'_motor'!$B$669)&lt;='_motor'!$B$677+0.000000001),"Reguladora",IF(AND('_motor'!$E$653&gt;='_motor'!$B$669,'_motor'!$F$653&lt;0.5*'_motor'!$B$669),"Determinante / entorno",IF(AND('_motor'!$E$653&gt;='_motor'!$B$669,'_motor'!$F$653&lt;'_motor'!$B$669),"Palanca secundaria",IF(AND('_motor'!$E$653&gt;='_motor'!$B$669,'_motor'!$F$653&gt;='_motor'!$B$669),"Clave / de enlace",IF(AND('_motor'!$F$653&gt;='_motor'!$B$669,'_motor'!$E$653&gt;=0.5*'_motor'!$B$669),"Objetivo",IF('_motor'!$F$653&gt;='_motor'!$B$669,"Resultado","Autónoma")))))))</f>
        <v/>
      </c>
      <c r="K73" s="19">
        <f>IF('_motor'!$B$653=0,"",'_motor'!$M$653-'_motor'!$O$653)</f>
        <v/>
      </c>
      <c r="L73" s="19">
        <f>IF('_motor'!$B$653=0,"",IF('_motor'!$O$653&lt;'_motor'!$M$653-2,"▲ VARIABLE OCULTA (sube "&amp;TEXT('_motor'!$M$653-'_motor'!$O$653,"0")&amp;" puestos)",IF('_motor'!$O$653&gt;'_motor'!$M$653+2,"▼ Sobrevalorada en directo (baja "&amp;TEXT('_motor'!$O$653-'_motor'!$M$653,"0")&amp;")","= Estable")))</f>
        <v/>
      </c>
    </row>
    <row r="74" spans="1:12" x14ac:dyDescent="0.2">
      <c r="A74" s="21">
        <f>IF('_motor'!$B$654=0,"",'02 · Variables'!$B$75)</f>
        <v/>
      </c>
      <c r="B74" s="19">
        <f>IF('_motor'!$B$654=0,"",'02 · Variables'!$C$75)</f>
        <v/>
      </c>
      <c r="C74" s="38">
        <f>IF('_motor'!$B$654=0,"",'_motor'!$E$654)</f>
        <v/>
      </c>
      <c r="D74" s="38">
        <f>IF('_motor'!$B$654=0,"",'_motor'!$F$654)</f>
        <v/>
      </c>
      <c r="E74" s="33">
        <f>IF(OR('_motor'!$B$654=0,'_motor'!$B$673=0),"",'_motor'!$E$654/'_motor'!$B$673)</f>
        <v/>
      </c>
      <c r="F74" s="33">
        <f>IF(OR('_motor'!$B$654=0,'_motor'!$B$673=0),"",'_motor'!$F$654/'_motor'!$B$673)</f>
        <v/>
      </c>
      <c r="G74" s="22">
        <f>IF('_motor'!$B$654=0,"",SUMPRODUCT('_motor'!$B$586:$B$665*('_motor'!$E$586:$E$665&gt;'_motor'!$E$654))+(SUMPRODUCT('_motor'!$B$586:$B$665*('_motor'!$E$586:$E$665='_motor'!$E$654))+1)/2)</f>
        <v/>
      </c>
      <c r="H74" s="22">
        <f>IF('_motor'!$B$654=0,"",SUMPRODUCT('_motor'!$B$586:$B$665*('_motor'!$F$586:$F$665&gt;'_motor'!$F$654))+(SUMPRODUCT('_motor'!$B$586:$B$665*('_motor'!$F$586:$F$665='_motor'!$F$654))+1)/2)</f>
        <v/>
      </c>
      <c r="I74" s="19">
        <f>IF('_motor'!$B$654=0,"",IF(AND(ABS('_motor'!$E$654-'_motor'!$B$669)&lt;='_motor'!$B$677+0.000000001,ABS('_motor'!$F$654-'_motor'!$B$669)&lt;='_motor'!$B$677+0.000000001),"5 · Pelotón (no concluyente)",IF(AND('_motor'!$E$654&gt;='_motor'!$B$669,'_motor'!$F$654&lt;'_motor'!$B$669),"1 · Entrada / determinante",IF(AND('_motor'!$E$654&gt;='_motor'!$B$669,'_motor'!$F$654&gt;='_motor'!$B$669),"2 · Intermedia / de enlace",IF(AND('_motor'!$E$654&lt;'_motor'!$B$669,'_motor'!$F$654&gt;='_motor'!$B$669),"3 · Resultado","4 · Excluida / autónoma")))))</f>
        <v/>
      </c>
      <c r="J74" s="19">
        <f>IF('_motor'!$B$654=0,"",IF(AND(ABS('_motor'!$E$654-'_motor'!$B$669)&lt;='_motor'!$B$677+0.000000001,ABS('_motor'!$F$654-'_motor'!$B$669)&lt;='_motor'!$B$677+0.000000001),"Reguladora",IF(AND('_motor'!$E$654&gt;='_motor'!$B$669,'_motor'!$F$654&lt;0.5*'_motor'!$B$669),"Determinante / entorno",IF(AND('_motor'!$E$654&gt;='_motor'!$B$669,'_motor'!$F$654&lt;'_motor'!$B$669),"Palanca secundaria",IF(AND('_motor'!$E$654&gt;='_motor'!$B$669,'_motor'!$F$654&gt;='_motor'!$B$669),"Clave / de enlace",IF(AND('_motor'!$F$654&gt;='_motor'!$B$669,'_motor'!$E$654&gt;=0.5*'_motor'!$B$669),"Objetivo",IF('_motor'!$F$654&gt;='_motor'!$B$669,"Resultado","Autónoma")))))))</f>
        <v/>
      </c>
      <c r="K74" s="19">
        <f>IF('_motor'!$B$654=0,"",'_motor'!$M$654-'_motor'!$O$654)</f>
        <v/>
      </c>
      <c r="L74" s="19">
        <f>IF('_motor'!$B$654=0,"",IF('_motor'!$O$654&lt;'_motor'!$M$654-2,"▲ VARIABLE OCULTA (sube "&amp;TEXT('_motor'!$M$654-'_motor'!$O$654,"0")&amp;" puestos)",IF('_motor'!$O$654&gt;'_motor'!$M$654+2,"▼ Sobrevalorada en directo (baja "&amp;TEXT('_motor'!$O$654-'_motor'!$M$654,"0")&amp;")","= Estable")))</f>
        <v/>
      </c>
    </row>
    <row r="75" spans="1:12" x14ac:dyDescent="0.2">
      <c r="A75" s="21">
        <f>IF('_motor'!$B$655=0,"",'02 · Variables'!$B$76)</f>
        <v/>
      </c>
      <c r="B75" s="19">
        <f>IF('_motor'!$B$655=0,"",'02 · Variables'!$C$76)</f>
        <v/>
      </c>
      <c r="C75" s="38">
        <f>IF('_motor'!$B$655=0,"",'_motor'!$E$655)</f>
        <v/>
      </c>
      <c r="D75" s="38">
        <f>IF('_motor'!$B$655=0,"",'_motor'!$F$655)</f>
        <v/>
      </c>
      <c r="E75" s="33">
        <f>IF(OR('_motor'!$B$655=0,'_motor'!$B$673=0),"",'_motor'!$E$655/'_motor'!$B$673)</f>
        <v/>
      </c>
      <c r="F75" s="33">
        <f>IF(OR('_motor'!$B$655=0,'_motor'!$B$673=0),"",'_motor'!$F$655/'_motor'!$B$673)</f>
        <v/>
      </c>
      <c r="G75" s="22">
        <f>IF('_motor'!$B$655=0,"",SUMPRODUCT('_motor'!$B$586:$B$665*('_motor'!$E$586:$E$665&gt;'_motor'!$E$655))+(SUMPRODUCT('_motor'!$B$586:$B$665*('_motor'!$E$586:$E$665='_motor'!$E$655))+1)/2)</f>
        <v/>
      </c>
      <c r="H75" s="22">
        <f>IF('_motor'!$B$655=0,"",SUMPRODUCT('_motor'!$B$586:$B$665*('_motor'!$F$586:$F$665&gt;'_motor'!$F$655))+(SUMPRODUCT('_motor'!$B$586:$B$665*('_motor'!$F$586:$F$665='_motor'!$F$655))+1)/2)</f>
        <v/>
      </c>
      <c r="I75" s="19">
        <f>IF('_motor'!$B$655=0,"",IF(AND(ABS('_motor'!$E$655-'_motor'!$B$669)&lt;='_motor'!$B$677+0.000000001,ABS('_motor'!$F$655-'_motor'!$B$669)&lt;='_motor'!$B$677+0.000000001),"5 · Pelotón (no concluyente)",IF(AND('_motor'!$E$655&gt;='_motor'!$B$669,'_motor'!$F$655&lt;'_motor'!$B$669),"1 · Entrada / determinante",IF(AND('_motor'!$E$655&gt;='_motor'!$B$669,'_motor'!$F$655&gt;='_motor'!$B$669),"2 · Intermedia / de enlace",IF(AND('_motor'!$E$655&lt;'_motor'!$B$669,'_motor'!$F$655&gt;='_motor'!$B$669),"3 · Resultado","4 · Excluida / autónoma")))))</f>
        <v/>
      </c>
      <c r="J75" s="19">
        <f>IF('_motor'!$B$655=0,"",IF(AND(ABS('_motor'!$E$655-'_motor'!$B$669)&lt;='_motor'!$B$677+0.000000001,ABS('_motor'!$F$655-'_motor'!$B$669)&lt;='_motor'!$B$677+0.000000001),"Reguladora",IF(AND('_motor'!$E$655&gt;='_motor'!$B$669,'_motor'!$F$655&lt;0.5*'_motor'!$B$669),"Determinante / entorno",IF(AND('_motor'!$E$655&gt;='_motor'!$B$669,'_motor'!$F$655&lt;'_motor'!$B$669),"Palanca secundaria",IF(AND('_motor'!$E$655&gt;='_motor'!$B$669,'_motor'!$F$655&gt;='_motor'!$B$669),"Clave / de enlace",IF(AND('_motor'!$F$655&gt;='_motor'!$B$669,'_motor'!$E$655&gt;=0.5*'_motor'!$B$669),"Objetivo",IF('_motor'!$F$655&gt;='_motor'!$B$669,"Resultado","Autónoma")))))))</f>
        <v/>
      </c>
      <c r="K75" s="19">
        <f>IF('_motor'!$B$655=0,"",'_motor'!$M$655-'_motor'!$O$655)</f>
        <v/>
      </c>
      <c r="L75" s="19">
        <f>IF('_motor'!$B$655=0,"",IF('_motor'!$O$655&lt;'_motor'!$M$655-2,"▲ VARIABLE OCULTA (sube "&amp;TEXT('_motor'!$M$655-'_motor'!$O$655,"0")&amp;" puestos)",IF('_motor'!$O$655&gt;'_motor'!$M$655+2,"▼ Sobrevalorada en directo (baja "&amp;TEXT('_motor'!$O$655-'_motor'!$M$655,"0")&amp;")","= Estable")))</f>
        <v/>
      </c>
    </row>
    <row r="76" spans="1:12" x14ac:dyDescent="0.2">
      <c r="A76" s="21">
        <f>IF('_motor'!$B$656=0,"",'02 · Variables'!$B$77)</f>
        <v/>
      </c>
      <c r="B76" s="19">
        <f>IF('_motor'!$B$656=0,"",'02 · Variables'!$C$77)</f>
        <v/>
      </c>
      <c r="C76" s="38">
        <f>IF('_motor'!$B$656=0,"",'_motor'!$E$656)</f>
        <v/>
      </c>
      <c r="D76" s="38">
        <f>IF('_motor'!$B$656=0,"",'_motor'!$F$656)</f>
        <v/>
      </c>
      <c r="E76" s="33">
        <f>IF(OR('_motor'!$B$656=0,'_motor'!$B$673=0),"",'_motor'!$E$656/'_motor'!$B$673)</f>
        <v/>
      </c>
      <c r="F76" s="33">
        <f>IF(OR('_motor'!$B$656=0,'_motor'!$B$673=0),"",'_motor'!$F$656/'_motor'!$B$673)</f>
        <v/>
      </c>
      <c r="G76" s="22">
        <f>IF('_motor'!$B$656=0,"",SUMPRODUCT('_motor'!$B$586:$B$665*('_motor'!$E$586:$E$665&gt;'_motor'!$E$656))+(SUMPRODUCT('_motor'!$B$586:$B$665*('_motor'!$E$586:$E$665='_motor'!$E$656))+1)/2)</f>
        <v/>
      </c>
      <c r="H76" s="22">
        <f>IF('_motor'!$B$656=0,"",SUMPRODUCT('_motor'!$B$586:$B$665*('_motor'!$F$586:$F$665&gt;'_motor'!$F$656))+(SUMPRODUCT('_motor'!$B$586:$B$665*('_motor'!$F$586:$F$665='_motor'!$F$656))+1)/2)</f>
        <v/>
      </c>
      <c r="I76" s="19">
        <f>IF('_motor'!$B$656=0,"",IF(AND(ABS('_motor'!$E$656-'_motor'!$B$669)&lt;='_motor'!$B$677+0.000000001,ABS('_motor'!$F$656-'_motor'!$B$669)&lt;='_motor'!$B$677+0.000000001),"5 · Pelotón (no concluyente)",IF(AND('_motor'!$E$656&gt;='_motor'!$B$669,'_motor'!$F$656&lt;'_motor'!$B$669),"1 · Entrada / determinante",IF(AND('_motor'!$E$656&gt;='_motor'!$B$669,'_motor'!$F$656&gt;='_motor'!$B$669),"2 · Intermedia / de enlace",IF(AND('_motor'!$E$656&lt;'_motor'!$B$669,'_motor'!$F$656&gt;='_motor'!$B$669),"3 · Resultado","4 · Excluida / autónoma")))))</f>
        <v/>
      </c>
      <c r="J76" s="19">
        <f>IF('_motor'!$B$656=0,"",IF(AND(ABS('_motor'!$E$656-'_motor'!$B$669)&lt;='_motor'!$B$677+0.000000001,ABS('_motor'!$F$656-'_motor'!$B$669)&lt;='_motor'!$B$677+0.000000001),"Reguladora",IF(AND('_motor'!$E$656&gt;='_motor'!$B$669,'_motor'!$F$656&lt;0.5*'_motor'!$B$669),"Determinante / entorno",IF(AND('_motor'!$E$656&gt;='_motor'!$B$669,'_motor'!$F$656&lt;'_motor'!$B$669),"Palanca secundaria",IF(AND('_motor'!$E$656&gt;='_motor'!$B$669,'_motor'!$F$656&gt;='_motor'!$B$669),"Clave / de enlace",IF(AND('_motor'!$F$656&gt;='_motor'!$B$669,'_motor'!$E$656&gt;=0.5*'_motor'!$B$669),"Objetivo",IF('_motor'!$F$656&gt;='_motor'!$B$669,"Resultado","Autónoma")))))))</f>
        <v/>
      </c>
      <c r="K76" s="19">
        <f>IF('_motor'!$B$656=0,"",'_motor'!$M$656-'_motor'!$O$656)</f>
        <v/>
      </c>
      <c r="L76" s="19">
        <f>IF('_motor'!$B$656=0,"",IF('_motor'!$O$656&lt;'_motor'!$M$656-2,"▲ VARIABLE OCULTA (sube "&amp;TEXT('_motor'!$M$656-'_motor'!$O$656,"0")&amp;" puestos)",IF('_motor'!$O$656&gt;'_motor'!$M$656+2,"▼ Sobrevalorada en directo (baja "&amp;TEXT('_motor'!$O$656-'_motor'!$M$656,"0")&amp;")","= Estable")))</f>
        <v/>
      </c>
    </row>
    <row r="77" spans="1:12" x14ac:dyDescent="0.2">
      <c r="A77" s="21">
        <f>IF('_motor'!$B$657=0,"",'02 · Variables'!$B$78)</f>
        <v/>
      </c>
      <c r="B77" s="19">
        <f>IF('_motor'!$B$657=0,"",'02 · Variables'!$C$78)</f>
        <v/>
      </c>
      <c r="C77" s="38">
        <f>IF('_motor'!$B$657=0,"",'_motor'!$E$657)</f>
        <v/>
      </c>
      <c r="D77" s="38">
        <f>IF('_motor'!$B$657=0,"",'_motor'!$F$657)</f>
        <v/>
      </c>
      <c r="E77" s="33">
        <f>IF(OR('_motor'!$B$657=0,'_motor'!$B$673=0),"",'_motor'!$E$657/'_motor'!$B$673)</f>
        <v/>
      </c>
      <c r="F77" s="33">
        <f>IF(OR('_motor'!$B$657=0,'_motor'!$B$673=0),"",'_motor'!$F$657/'_motor'!$B$673)</f>
        <v/>
      </c>
      <c r="G77" s="22">
        <f>IF('_motor'!$B$657=0,"",SUMPRODUCT('_motor'!$B$586:$B$665*('_motor'!$E$586:$E$665&gt;'_motor'!$E$657))+(SUMPRODUCT('_motor'!$B$586:$B$665*('_motor'!$E$586:$E$665='_motor'!$E$657))+1)/2)</f>
        <v/>
      </c>
      <c r="H77" s="22">
        <f>IF('_motor'!$B$657=0,"",SUMPRODUCT('_motor'!$B$586:$B$665*('_motor'!$F$586:$F$665&gt;'_motor'!$F$657))+(SUMPRODUCT('_motor'!$B$586:$B$665*('_motor'!$F$586:$F$665='_motor'!$F$657))+1)/2)</f>
        <v/>
      </c>
      <c r="I77" s="19">
        <f>IF('_motor'!$B$657=0,"",IF(AND(ABS('_motor'!$E$657-'_motor'!$B$669)&lt;='_motor'!$B$677+0.000000001,ABS('_motor'!$F$657-'_motor'!$B$669)&lt;='_motor'!$B$677+0.000000001),"5 · Pelotón (no concluyente)",IF(AND('_motor'!$E$657&gt;='_motor'!$B$669,'_motor'!$F$657&lt;'_motor'!$B$669),"1 · Entrada / determinante",IF(AND('_motor'!$E$657&gt;='_motor'!$B$669,'_motor'!$F$657&gt;='_motor'!$B$669),"2 · Intermedia / de enlace",IF(AND('_motor'!$E$657&lt;'_motor'!$B$669,'_motor'!$F$657&gt;='_motor'!$B$669),"3 · Resultado","4 · Excluida / autónoma")))))</f>
        <v/>
      </c>
      <c r="J77" s="19">
        <f>IF('_motor'!$B$657=0,"",IF(AND(ABS('_motor'!$E$657-'_motor'!$B$669)&lt;='_motor'!$B$677+0.000000001,ABS('_motor'!$F$657-'_motor'!$B$669)&lt;='_motor'!$B$677+0.000000001),"Reguladora",IF(AND('_motor'!$E$657&gt;='_motor'!$B$669,'_motor'!$F$657&lt;0.5*'_motor'!$B$669),"Determinante / entorno",IF(AND('_motor'!$E$657&gt;='_motor'!$B$669,'_motor'!$F$657&lt;'_motor'!$B$669),"Palanca secundaria",IF(AND('_motor'!$E$657&gt;='_motor'!$B$669,'_motor'!$F$657&gt;='_motor'!$B$669),"Clave / de enlace",IF(AND('_motor'!$F$657&gt;='_motor'!$B$669,'_motor'!$E$657&gt;=0.5*'_motor'!$B$669),"Objetivo",IF('_motor'!$F$657&gt;='_motor'!$B$669,"Resultado","Autónoma")))))))</f>
        <v/>
      </c>
      <c r="K77" s="19">
        <f>IF('_motor'!$B$657=0,"",'_motor'!$M$657-'_motor'!$O$657)</f>
        <v/>
      </c>
      <c r="L77" s="19">
        <f>IF('_motor'!$B$657=0,"",IF('_motor'!$O$657&lt;'_motor'!$M$657-2,"▲ VARIABLE OCULTA (sube "&amp;TEXT('_motor'!$M$657-'_motor'!$O$657,"0")&amp;" puestos)",IF('_motor'!$O$657&gt;'_motor'!$M$657+2,"▼ Sobrevalorada en directo (baja "&amp;TEXT('_motor'!$O$657-'_motor'!$M$657,"0")&amp;")","= Estable")))</f>
        <v/>
      </c>
    </row>
    <row r="78" spans="1:12" x14ac:dyDescent="0.2">
      <c r="A78" s="21">
        <f>IF('_motor'!$B$658=0,"",'02 · Variables'!$B$79)</f>
        <v/>
      </c>
      <c r="B78" s="19">
        <f>IF('_motor'!$B$658=0,"",'02 · Variables'!$C$79)</f>
        <v/>
      </c>
      <c r="C78" s="38">
        <f>IF('_motor'!$B$658=0,"",'_motor'!$E$658)</f>
        <v/>
      </c>
      <c r="D78" s="38">
        <f>IF('_motor'!$B$658=0,"",'_motor'!$F$658)</f>
        <v/>
      </c>
      <c r="E78" s="33">
        <f>IF(OR('_motor'!$B$658=0,'_motor'!$B$673=0),"",'_motor'!$E$658/'_motor'!$B$673)</f>
        <v/>
      </c>
      <c r="F78" s="33">
        <f>IF(OR('_motor'!$B$658=0,'_motor'!$B$673=0),"",'_motor'!$F$658/'_motor'!$B$673)</f>
        <v/>
      </c>
      <c r="G78" s="22">
        <f>IF('_motor'!$B$658=0,"",SUMPRODUCT('_motor'!$B$586:$B$665*('_motor'!$E$586:$E$665&gt;'_motor'!$E$658))+(SUMPRODUCT('_motor'!$B$586:$B$665*('_motor'!$E$586:$E$665='_motor'!$E$658))+1)/2)</f>
        <v/>
      </c>
      <c r="H78" s="22">
        <f>IF('_motor'!$B$658=0,"",SUMPRODUCT('_motor'!$B$586:$B$665*('_motor'!$F$586:$F$665&gt;'_motor'!$F$658))+(SUMPRODUCT('_motor'!$B$586:$B$665*('_motor'!$F$586:$F$665='_motor'!$F$658))+1)/2)</f>
        <v/>
      </c>
      <c r="I78" s="19">
        <f>IF('_motor'!$B$658=0,"",IF(AND(ABS('_motor'!$E$658-'_motor'!$B$669)&lt;='_motor'!$B$677+0.000000001,ABS('_motor'!$F$658-'_motor'!$B$669)&lt;='_motor'!$B$677+0.000000001),"5 · Pelotón (no concluyente)",IF(AND('_motor'!$E$658&gt;='_motor'!$B$669,'_motor'!$F$658&lt;'_motor'!$B$669),"1 · Entrada / determinante",IF(AND('_motor'!$E$658&gt;='_motor'!$B$669,'_motor'!$F$658&gt;='_motor'!$B$669),"2 · Intermedia / de enlace",IF(AND('_motor'!$E$658&lt;'_motor'!$B$669,'_motor'!$F$658&gt;='_motor'!$B$669),"3 · Resultado","4 · Excluida / autónoma")))))</f>
        <v/>
      </c>
      <c r="J78" s="19">
        <f>IF('_motor'!$B$658=0,"",IF(AND(ABS('_motor'!$E$658-'_motor'!$B$669)&lt;='_motor'!$B$677+0.000000001,ABS('_motor'!$F$658-'_motor'!$B$669)&lt;='_motor'!$B$677+0.000000001),"Reguladora",IF(AND('_motor'!$E$658&gt;='_motor'!$B$669,'_motor'!$F$658&lt;0.5*'_motor'!$B$669),"Determinante / entorno",IF(AND('_motor'!$E$658&gt;='_motor'!$B$669,'_motor'!$F$658&lt;'_motor'!$B$669),"Palanca secundaria",IF(AND('_motor'!$E$658&gt;='_motor'!$B$669,'_motor'!$F$658&gt;='_motor'!$B$669),"Clave / de enlace",IF(AND('_motor'!$F$658&gt;='_motor'!$B$669,'_motor'!$E$658&gt;=0.5*'_motor'!$B$669),"Objetivo",IF('_motor'!$F$658&gt;='_motor'!$B$669,"Resultado","Autónoma")))))))</f>
        <v/>
      </c>
      <c r="K78" s="19">
        <f>IF('_motor'!$B$658=0,"",'_motor'!$M$658-'_motor'!$O$658)</f>
        <v/>
      </c>
      <c r="L78" s="19">
        <f>IF('_motor'!$B$658=0,"",IF('_motor'!$O$658&lt;'_motor'!$M$658-2,"▲ VARIABLE OCULTA (sube "&amp;TEXT('_motor'!$M$658-'_motor'!$O$658,"0")&amp;" puestos)",IF('_motor'!$O$658&gt;'_motor'!$M$658+2,"▼ Sobrevalorada en directo (baja "&amp;TEXT('_motor'!$O$658-'_motor'!$M$658,"0")&amp;")","= Estable")))</f>
        <v/>
      </c>
    </row>
    <row r="79" spans="1:12" x14ac:dyDescent="0.2">
      <c r="A79" s="21">
        <f>IF('_motor'!$B$659=0,"",'02 · Variables'!$B$80)</f>
        <v/>
      </c>
      <c r="B79" s="19">
        <f>IF('_motor'!$B$659=0,"",'02 · Variables'!$C$80)</f>
        <v/>
      </c>
      <c r="C79" s="38">
        <f>IF('_motor'!$B$659=0,"",'_motor'!$E$659)</f>
        <v/>
      </c>
      <c r="D79" s="38">
        <f>IF('_motor'!$B$659=0,"",'_motor'!$F$659)</f>
        <v/>
      </c>
      <c r="E79" s="33">
        <f>IF(OR('_motor'!$B$659=0,'_motor'!$B$673=0),"",'_motor'!$E$659/'_motor'!$B$673)</f>
        <v/>
      </c>
      <c r="F79" s="33">
        <f>IF(OR('_motor'!$B$659=0,'_motor'!$B$673=0),"",'_motor'!$F$659/'_motor'!$B$673)</f>
        <v/>
      </c>
      <c r="G79" s="22">
        <f>IF('_motor'!$B$659=0,"",SUMPRODUCT('_motor'!$B$586:$B$665*('_motor'!$E$586:$E$665&gt;'_motor'!$E$659))+(SUMPRODUCT('_motor'!$B$586:$B$665*('_motor'!$E$586:$E$665='_motor'!$E$659))+1)/2)</f>
        <v/>
      </c>
      <c r="H79" s="22">
        <f>IF('_motor'!$B$659=0,"",SUMPRODUCT('_motor'!$B$586:$B$665*('_motor'!$F$586:$F$665&gt;'_motor'!$F$659))+(SUMPRODUCT('_motor'!$B$586:$B$665*('_motor'!$F$586:$F$665='_motor'!$F$659))+1)/2)</f>
        <v/>
      </c>
      <c r="I79" s="19">
        <f>IF('_motor'!$B$659=0,"",IF(AND(ABS('_motor'!$E$659-'_motor'!$B$669)&lt;='_motor'!$B$677+0.000000001,ABS('_motor'!$F$659-'_motor'!$B$669)&lt;='_motor'!$B$677+0.000000001),"5 · Pelotón (no concluyente)",IF(AND('_motor'!$E$659&gt;='_motor'!$B$669,'_motor'!$F$659&lt;'_motor'!$B$669),"1 · Entrada / determinante",IF(AND('_motor'!$E$659&gt;='_motor'!$B$669,'_motor'!$F$659&gt;='_motor'!$B$669),"2 · Intermedia / de enlace",IF(AND('_motor'!$E$659&lt;'_motor'!$B$669,'_motor'!$F$659&gt;='_motor'!$B$669),"3 · Resultado","4 · Excluida / autónoma")))))</f>
        <v/>
      </c>
      <c r="J79" s="19">
        <f>IF('_motor'!$B$659=0,"",IF(AND(ABS('_motor'!$E$659-'_motor'!$B$669)&lt;='_motor'!$B$677+0.000000001,ABS('_motor'!$F$659-'_motor'!$B$669)&lt;='_motor'!$B$677+0.000000001),"Reguladora",IF(AND('_motor'!$E$659&gt;='_motor'!$B$669,'_motor'!$F$659&lt;0.5*'_motor'!$B$669),"Determinante / entorno",IF(AND('_motor'!$E$659&gt;='_motor'!$B$669,'_motor'!$F$659&lt;'_motor'!$B$669),"Palanca secundaria",IF(AND('_motor'!$E$659&gt;='_motor'!$B$669,'_motor'!$F$659&gt;='_motor'!$B$669),"Clave / de enlace",IF(AND('_motor'!$F$659&gt;='_motor'!$B$669,'_motor'!$E$659&gt;=0.5*'_motor'!$B$669),"Objetivo",IF('_motor'!$F$659&gt;='_motor'!$B$669,"Resultado","Autónoma")))))))</f>
        <v/>
      </c>
      <c r="K79" s="19">
        <f>IF('_motor'!$B$659=0,"",'_motor'!$M$659-'_motor'!$O$659)</f>
        <v/>
      </c>
      <c r="L79" s="19">
        <f>IF('_motor'!$B$659=0,"",IF('_motor'!$O$659&lt;'_motor'!$M$659-2,"▲ VARIABLE OCULTA (sube "&amp;TEXT('_motor'!$M$659-'_motor'!$O$659,"0")&amp;" puestos)",IF('_motor'!$O$659&gt;'_motor'!$M$659+2,"▼ Sobrevalorada en directo (baja "&amp;TEXT('_motor'!$O$659-'_motor'!$M$659,"0")&amp;")","= Estable")))</f>
        <v/>
      </c>
    </row>
    <row r="80" spans="1:12" x14ac:dyDescent="0.2">
      <c r="A80" s="21">
        <f>IF('_motor'!$B$660=0,"",'02 · Variables'!$B$81)</f>
        <v/>
      </c>
      <c r="B80" s="19">
        <f>IF('_motor'!$B$660=0,"",'02 · Variables'!$C$81)</f>
        <v/>
      </c>
      <c r="C80" s="38">
        <f>IF('_motor'!$B$660=0,"",'_motor'!$E$660)</f>
        <v/>
      </c>
      <c r="D80" s="38">
        <f>IF('_motor'!$B$660=0,"",'_motor'!$F$660)</f>
        <v/>
      </c>
      <c r="E80" s="33">
        <f>IF(OR('_motor'!$B$660=0,'_motor'!$B$673=0),"",'_motor'!$E$660/'_motor'!$B$673)</f>
        <v/>
      </c>
      <c r="F80" s="33">
        <f>IF(OR('_motor'!$B$660=0,'_motor'!$B$673=0),"",'_motor'!$F$660/'_motor'!$B$673)</f>
        <v/>
      </c>
      <c r="G80" s="22">
        <f>IF('_motor'!$B$660=0,"",SUMPRODUCT('_motor'!$B$586:$B$665*('_motor'!$E$586:$E$665&gt;'_motor'!$E$660))+(SUMPRODUCT('_motor'!$B$586:$B$665*('_motor'!$E$586:$E$665='_motor'!$E$660))+1)/2)</f>
        <v/>
      </c>
      <c r="H80" s="22">
        <f>IF('_motor'!$B$660=0,"",SUMPRODUCT('_motor'!$B$586:$B$665*('_motor'!$F$586:$F$665&gt;'_motor'!$F$660))+(SUMPRODUCT('_motor'!$B$586:$B$665*('_motor'!$F$586:$F$665='_motor'!$F$660))+1)/2)</f>
        <v/>
      </c>
      <c r="I80" s="19">
        <f>IF('_motor'!$B$660=0,"",IF(AND(ABS('_motor'!$E$660-'_motor'!$B$669)&lt;='_motor'!$B$677+0.000000001,ABS('_motor'!$F$660-'_motor'!$B$669)&lt;='_motor'!$B$677+0.000000001),"5 · Pelotón (no concluyente)",IF(AND('_motor'!$E$660&gt;='_motor'!$B$669,'_motor'!$F$660&lt;'_motor'!$B$669),"1 · Entrada / determinante",IF(AND('_motor'!$E$660&gt;='_motor'!$B$669,'_motor'!$F$660&gt;='_motor'!$B$669),"2 · Intermedia / de enlace",IF(AND('_motor'!$E$660&lt;'_motor'!$B$669,'_motor'!$F$660&gt;='_motor'!$B$669),"3 · Resultado","4 · Excluida / autónoma")))))</f>
        <v/>
      </c>
      <c r="J80" s="19">
        <f>IF('_motor'!$B$660=0,"",IF(AND(ABS('_motor'!$E$660-'_motor'!$B$669)&lt;='_motor'!$B$677+0.000000001,ABS('_motor'!$F$660-'_motor'!$B$669)&lt;='_motor'!$B$677+0.000000001),"Reguladora",IF(AND('_motor'!$E$660&gt;='_motor'!$B$669,'_motor'!$F$660&lt;0.5*'_motor'!$B$669),"Determinante / entorno",IF(AND('_motor'!$E$660&gt;='_motor'!$B$669,'_motor'!$F$660&lt;'_motor'!$B$669),"Palanca secundaria",IF(AND('_motor'!$E$660&gt;='_motor'!$B$669,'_motor'!$F$660&gt;='_motor'!$B$669),"Clave / de enlace",IF(AND('_motor'!$F$660&gt;='_motor'!$B$669,'_motor'!$E$660&gt;=0.5*'_motor'!$B$669),"Objetivo",IF('_motor'!$F$660&gt;='_motor'!$B$669,"Resultado","Autónoma")))))))</f>
        <v/>
      </c>
      <c r="K80" s="19">
        <f>IF('_motor'!$B$660=0,"",'_motor'!$M$660-'_motor'!$O$660)</f>
        <v/>
      </c>
      <c r="L80" s="19">
        <f>IF('_motor'!$B$660=0,"",IF('_motor'!$O$660&lt;'_motor'!$M$660-2,"▲ VARIABLE OCULTA (sube "&amp;TEXT('_motor'!$M$660-'_motor'!$O$660,"0")&amp;" puestos)",IF('_motor'!$O$660&gt;'_motor'!$M$660+2,"▼ Sobrevalorada en directo (baja "&amp;TEXT('_motor'!$O$660-'_motor'!$M$660,"0")&amp;")","= Estable")))</f>
        <v/>
      </c>
    </row>
    <row r="81" spans="1:12" x14ac:dyDescent="0.2">
      <c r="A81" s="21">
        <f>IF('_motor'!$B$661=0,"",'02 · Variables'!$B$82)</f>
        <v/>
      </c>
      <c r="B81" s="19">
        <f>IF('_motor'!$B$661=0,"",'02 · Variables'!$C$82)</f>
        <v/>
      </c>
      <c r="C81" s="38">
        <f>IF('_motor'!$B$661=0,"",'_motor'!$E$661)</f>
        <v/>
      </c>
      <c r="D81" s="38">
        <f>IF('_motor'!$B$661=0,"",'_motor'!$F$661)</f>
        <v/>
      </c>
      <c r="E81" s="33">
        <f>IF(OR('_motor'!$B$661=0,'_motor'!$B$673=0),"",'_motor'!$E$661/'_motor'!$B$673)</f>
        <v/>
      </c>
      <c r="F81" s="33">
        <f>IF(OR('_motor'!$B$661=0,'_motor'!$B$673=0),"",'_motor'!$F$661/'_motor'!$B$673)</f>
        <v/>
      </c>
      <c r="G81" s="22">
        <f>IF('_motor'!$B$661=0,"",SUMPRODUCT('_motor'!$B$586:$B$665*('_motor'!$E$586:$E$665&gt;'_motor'!$E$661))+(SUMPRODUCT('_motor'!$B$586:$B$665*('_motor'!$E$586:$E$665='_motor'!$E$661))+1)/2)</f>
        <v/>
      </c>
      <c r="H81" s="22">
        <f>IF('_motor'!$B$661=0,"",SUMPRODUCT('_motor'!$B$586:$B$665*('_motor'!$F$586:$F$665&gt;'_motor'!$F$661))+(SUMPRODUCT('_motor'!$B$586:$B$665*('_motor'!$F$586:$F$665='_motor'!$F$661))+1)/2)</f>
        <v/>
      </c>
      <c r="I81" s="19">
        <f>IF('_motor'!$B$661=0,"",IF(AND(ABS('_motor'!$E$661-'_motor'!$B$669)&lt;='_motor'!$B$677+0.000000001,ABS('_motor'!$F$661-'_motor'!$B$669)&lt;='_motor'!$B$677+0.000000001),"5 · Pelotón (no concluyente)",IF(AND('_motor'!$E$661&gt;='_motor'!$B$669,'_motor'!$F$661&lt;'_motor'!$B$669),"1 · Entrada / determinante",IF(AND('_motor'!$E$661&gt;='_motor'!$B$669,'_motor'!$F$661&gt;='_motor'!$B$669),"2 · Intermedia / de enlace",IF(AND('_motor'!$E$661&lt;'_motor'!$B$669,'_motor'!$F$661&gt;='_motor'!$B$669),"3 · Resultado","4 · Excluida / autónoma")))))</f>
        <v/>
      </c>
      <c r="J81" s="19">
        <f>IF('_motor'!$B$661=0,"",IF(AND(ABS('_motor'!$E$661-'_motor'!$B$669)&lt;='_motor'!$B$677+0.000000001,ABS('_motor'!$F$661-'_motor'!$B$669)&lt;='_motor'!$B$677+0.000000001),"Reguladora",IF(AND('_motor'!$E$661&gt;='_motor'!$B$669,'_motor'!$F$661&lt;0.5*'_motor'!$B$669),"Determinante / entorno",IF(AND('_motor'!$E$661&gt;='_motor'!$B$669,'_motor'!$F$661&lt;'_motor'!$B$669),"Palanca secundaria",IF(AND('_motor'!$E$661&gt;='_motor'!$B$669,'_motor'!$F$661&gt;='_motor'!$B$669),"Clave / de enlace",IF(AND('_motor'!$F$661&gt;='_motor'!$B$669,'_motor'!$E$661&gt;=0.5*'_motor'!$B$669),"Objetivo",IF('_motor'!$F$661&gt;='_motor'!$B$669,"Resultado","Autónoma")))))))</f>
        <v/>
      </c>
      <c r="K81" s="19">
        <f>IF('_motor'!$B$661=0,"",'_motor'!$M$661-'_motor'!$O$661)</f>
        <v/>
      </c>
      <c r="L81" s="19">
        <f>IF('_motor'!$B$661=0,"",IF('_motor'!$O$661&lt;'_motor'!$M$661-2,"▲ VARIABLE OCULTA (sube "&amp;TEXT('_motor'!$M$661-'_motor'!$O$661,"0")&amp;" puestos)",IF('_motor'!$O$661&gt;'_motor'!$M$661+2,"▼ Sobrevalorada en directo (baja "&amp;TEXT('_motor'!$O$661-'_motor'!$M$661,"0")&amp;")","= Estable")))</f>
        <v/>
      </c>
    </row>
    <row r="82" spans="1:12" x14ac:dyDescent="0.2">
      <c r="A82" s="21">
        <f>IF('_motor'!$B$662=0,"",'02 · Variables'!$B$83)</f>
        <v/>
      </c>
      <c r="B82" s="19">
        <f>IF('_motor'!$B$662=0,"",'02 · Variables'!$C$83)</f>
        <v/>
      </c>
      <c r="C82" s="38">
        <f>IF('_motor'!$B$662=0,"",'_motor'!$E$662)</f>
        <v/>
      </c>
      <c r="D82" s="38">
        <f>IF('_motor'!$B$662=0,"",'_motor'!$F$662)</f>
        <v/>
      </c>
      <c r="E82" s="33">
        <f>IF(OR('_motor'!$B$662=0,'_motor'!$B$673=0),"",'_motor'!$E$662/'_motor'!$B$673)</f>
        <v/>
      </c>
      <c r="F82" s="33">
        <f>IF(OR('_motor'!$B$662=0,'_motor'!$B$673=0),"",'_motor'!$F$662/'_motor'!$B$673)</f>
        <v/>
      </c>
      <c r="G82" s="22">
        <f>IF('_motor'!$B$662=0,"",SUMPRODUCT('_motor'!$B$586:$B$665*('_motor'!$E$586:$E$665&gt;'_motor'!$E$662))+(SUMPRODUCT('_motor'!$B$586:$B$665*('_motor'!$E$586:$E$665='_motor'!$E$662))+1)/2)</f>
        <v/>
      </c>
      <c r="H82" s="22">
        <f>IF('_motor'!$B$662=0,"",SUMPRODUCT('_motor'!$B$586:$B$665*('_motor'!$F$586:$F$665&gt;'_motor'!$F$662))+(SUMPRODUCT('_motor'!$B$586:$B$665*('_motor'!$F$586:$F$665='_motor'!$F$662))+1)/2)</f>
        <v/>
      </c>
      <c r="I82" s="19">
        <f>IF('_motor'!$B$662=0,"",IF(AND(ABS('_motor'!$E$662-'_motor'!$B$669)&lt;='_motor'!$B$677+0.000000001,ABS('_motor'!$F$662-'_motor'!$B$669)&lt;='_motor'!$B$677+0.000000001),"5 · Pelotón (no concluyente)",IF(AND('_motor'!$E$662&gt;='_motor'!$B$669,'_motor'!$F$662&lt;'_motor'!$B$669),"1 · Entrada / determinante",IF(AND('_motor'!$E$662&gt;='_motor'!$B$669,'_motor'!$F$662&gt;='_motor'!$B$669),"2 · Intermedia / de enlace",IF(AND('_motor'!$E$662&lt;'_motor'!$B$669,'_motor'!$F$662&gt;='_motor'!$B$669),"3 · Resultado","4 · Excluida / autónoma")))))</f>
        <v/>
      </c>
      <c r="J82" s="19">
        <f>IF('_motor'!$B$662=0,"",IF(AND(ABS('_motor'!$E$662-'_motor'!$B$669)&lt;='_motor'!$B$677+0.000000001,ABS('_motor'!$F$662-'_motor'!$B$669)&lt;='_motor'!$B$677+0.000000001),"Reguladora",IF(AND('_motor'!$E$662&gt;='_motor'!$B$669,'_motor'!$F$662&lt;0.5*'_motor'!$B$669),"Determinante / entorno",IF(AND('_motor'!$E$662&gt;='_motor'!$B$669,'_motor'!$F$662&lt;'_motor'!$B$669),"Palanca secundaria",IF(AND('_motor'!$E$662&gt;='_motor'!$B$669,'_motor'!$F$662&gt;='_motor'!$B$669),"Clave / de enlace",IF(AND('_motor'!$F$662&gt;='_motor'!$B$669,'_motor'!$E$662&gt;=0.5*'_motor'!$B$669),"Objetivo",IF('_motor'!$F$662&gt;='_motor'!$B$669,"Resultado","Autónoma")))))))</f>
        <v/>
      </c>
      <c r="K82" s="19">
        <f>IF('_motor'!$B$662=0,"",'_motor'!$M$662-'_motor'!$O$662)</f>
        <v/>
      </c>
      <c r="L82" s="19">
        <f>IF('_motor'!$B$662=0,"",IF('_motor'!$O$662&lt;'_motor'!$M$662-2,"▲ VARIABLE OCULTA (sube "&amp;TEXT('_motor'!$M$662-'_motor'!$O$662,"0")&amp;" puestos)",IF('_motor'!$O$662&gt;'_motor'!$M$662+2,"▼ Sobrevalorada en directo (baja "&amp;TEXT('_motor'!$O$662-'_motor'!$M$662,"0")&amp;")","= Estable")))</f>
        <v/>
      </c>
    </row>
    <row r="83" spans="1:12" x14ac:dyDescent="0.2">
      <c r="A83" s="21">
        <f>IF('_motor'!$B$663=0,"",'02 · Variables'!$B$84)</f>
        <v/>
      </c>
      <c r="B83" s="19">
        <f>IF('_motor'!$B$663=0,"",'02 · Variables'!$C$84)</f>
        <v/>
      </c>
      <c r="C83" s="38">
        <f>IF('_motor'!$B$663=0,"",'_motor'!$E$663)</f>
        <v/>
      </c>
      <c r="D83" s="38">
        <f>IF('_motor'!$B$663=0,"",'_motor'!$F$663)</f>
        <v/>
      </c>
      <c r="E83" s="33">
        <f>IF(OR('_motor'!$B$663=0,'_motor'!$B$673=0),"",'_motor'!$E$663/'_motor'!$B$673)</f>
        <v/>
      </c>
      <c r="F83" s="33">
        <f>IF(OR('_motor'!$B$663=0,'_motor'!$B$673=0),"",'_motor'!$F$663/'_motor'!$B$673)</f>
        <v/>
      </c>
      <c r="G83" s="22">
        <f>IF('_motor'!$B$663=0,"",SUMPRODUCT('_motor'!$B$586:$B$665*('_motor'!$E$586:$E$665&gt;'_motor'!$E$663))+(SUMPRODUCT('_motor'!$B$586:$B$665*('_motor'!$E$586:$E$665='_motor'!$E$663))+1)/2)</f>
        <v/>
      </c>
      <c r="H83" s="22">
        <f>IF('_motor'!$B$663=0,"",SUMPRODUCT('_motor'!$B$586:$B$665*('_motor'!$F$586:$F$665&gt;'_motor'!$F$663))+(SUMPRODUCT('_motor'!$B$586:$B$665*('_motor'!$F$586:$F$665='_motor'!$F$663))+1)/2)</f>
        <v/>
      </c>
      <c r="I83" s="19">
        <f>IF('_motor'!$B$663=0,"",IF(AND(ABS('_motor'!$E$663-'_motor'!$B$669)&lt;='_motor'!$B$677+0.000000001,ABS('_motor'!$F$663-'_motor'!$B$669)&lt;='_motor'!$B$677+0.000000001),"5 · Pelotón (no concluyente)",IF(AND('_motor'!$E$663&gt;='_motor'!$B$669,'_motor'!$F$663&lt;'_motor'!$B$669),"1 · Entrada / determinante",IF(AND('_motor'!$E$663&gt;='_motor'!$B$669,'_motor'!$F$663&gt;='_motor'!$B$669),"2 · Intermedia / de enlace",IF(AND('_motor'!$E$663&lt;'_motor'!$B$669,'_motor'!$F$663&gt;='_motor'!$B$669),"3 · Resultado","4 · Excluida / autónoma")))))</f>
        <v/>
      </c>
      <c r="J83" s="19">
        <f>IF('_motor'!$B$663=0,"",IF(AND(ABS('_motor'!$E$663-'_motor'!$B$669)&lt;='_motor'!$B$677+0.000000001,ABS('_motor'!$F$663-'_motor'!$B$669)&lt;='_motor'!$B$677+0.000000001),"Reguladora",IF(AND('_motor'!$E$663&gt;='_motor'!$B$669,'_motor'!$F$663&lt;0.5*'_motor'!$B$669),"Determinante / entorno",IF(AND('_motor'!$E$663&gt;='_motor'!$B$669,'_motor'!$F$663&lt;'_motor'!$B$669),"Palanca secundaria",IF(AND('_motor'!$E$663&gt;='_motor'!$B$669,'_motor'!$F$663&gt;='_motor'!$B$669),"Clave / de enlace",IF(AND('_motor'!$F$663&gt;='_motor'!$B$669,'_motor'!$E$663&gt;=0.5*'_motor'!$B$669),"Objetivo",IF('_motor'!$F$663&gt;='_motor'!$B$669,"Resultado","Autónoma")))))))</f>
        <v/>
      </c>
      <c r="K83" s="19">
        <f>IF('_motor'!$B$663=0,"",'_motor'!$M$663-'_motor'!$O$663)</f>
        <v/>
      </c>
      <c r="L83" s="19">
        <f>IF('_motor'!$B$663=0,"",IF('_motor'!$O$663&lt;'_motor'!$M$663-2,"▲ VARIABLE OCULTA (sube "&amp;TEXT('_motor'!$M$663-'_motor'!$O$663,"0")&amp;" puestos)",IF('_motor'!$O$663&gt;'_motor'!$M$663+2,"▼ Sobrevalorada en directo (baja "&amp;TEXT('_motor'!$O$663-'_motor'!$M$663,"0")&amp;")","= Estable")))</f>
        <v/>
      </c>
    </row>
    <row r="84" spans="1:12" x14ac:dyDescent="0.2">
      <c r="A84" s="21">
        <f>IF('_motor'!$B$664=0,"",'02 · Variables'!$B$85)</f>
        <v/>
      </c>
      <c r="B84" s="19">
        <f>IF('_motor'!$B$664=0,"",'02 · Variables'!$C$85)</f>
        <v/>
      </c>
      <c r="C84" s="38">
        <f>IF('_motor'!$B$664=0,"",'_motor'!$E$664)</f>
        <v/>
      </c>
      <c r="D84" s="38">
        <f>IF('_motor'!$B$664=0,"",'_motor'!$F$664)</f>
        <v/>
      </c>
      <c r="E84" s="33">
        <f>IF(OR('_motor'!$B$664=0,'_motor'!$B$673=0),"",'_motor'!$E$664/'_motor'!$B$673)</f>
        <v/>
      </c>
      <c r="F84" s="33">
        <f>IF(OR('_motor'!$B$664=0,'_motor'!$B$673=0),"",'_motor'!$F$664/'_motor'!$B$673)</f>
        <v/>
      </c>
      <c r="G84" s="22">
        <f>IF('_motor'!$B$664=0,"",SUMPRODUCT('_motor'!$B$586:$B$665*('_motor'!$E$586:$E$665&gt;'_motor'!$E$664))+(SUMPRODUCT('_motor'!$B$586:$B$665*('_motor'!$E$586:$E$665='_motor'!$E$664))+1)/2)</f>
        <v/>
      </c>
      <c r="H84" s="22">
        <f>IF('_motor'!$B$664=0,"",SUMPRODUCT('_motor'!$B$586:$B$665*('_motor'!$F$586:$F$665&gt;'_motor'!$F$664))+(SUMPRODUCT('_motor'!$B$586:$B$665*('_motor'!$F$586:$F$665='_motor'!$F$664))+1)/2)</f>
        <v/>
      </c>
      <c r="I84" s="19">
        <f>IF('_motor'!$B$664=0,"",IF(AND(ABS('_motor'!$E$664-'_motor'!$B$669)&lt;='_motor'!$B$677+0.000000001,ABS('_motor'!$F$664-'_motor'!$B$669)&lt;='_motor'!$B$677+0.000000001),"5 · Pelotón (no concluyente)",IF(AND('_motor'!$E$664&gt;='_motor'!$B$669,'_motor'!$F$664&lt;'_motor'!$B$669),"1 · Entrada / determinante",IF(AND('_motor'!$E$664&gt;='_motor'!$B$669,'_motor'!$F$664&gt;='_motor'!$B$669),"2 · Intermedia / de enlace",IF(AND('_motor'!$E$664&lt;'_motor'!$B$669,'_motor'!$F$664&gt;='_motor'!$B$669),"3 · Resultado","4 · Excluida / autónoma")))))</f>
        <v/>
      </c>
      <c r="J84" s="19">
        <f>IF('_motor'!$B$664=0,"",IF(AND(ABS('_motor'!$E$664-'_motor'!$B$669)&lt;='_motor'!$B$677+0.000000001,ABS('_motor'!$F$664-'_motor'!$B$669)&lt;='_motor'!$B$677+0.000000001),"Reguladora",IF(AND('_motor'!$E$664&gt;='_motor'!$B$669,'_motor'!$F$664&lt;0.5*'_motor'!$B$669),"Determinante / entorno",IF(AND('_motor'!$E$664&gt;='_motor'!$B$669,'_motor'!$F$664&lt;'_motor'!$B$669),"Palanca secundaria",IF(AND('_motor'!$E$664&gt;='_motor'!$B$669,'_motor'!$F$664&gt;='_motor'!$B$669),"Clave / de enlace",IF(AND('_motor'!$F$664&gt;='_motor'!$B$669,'_motor'!$E$664&gt;=0.5*'_motor'!$B$669),"Objetivo",IF('_motor'!$F$664&gt;='_motor'!$B$669,"Resultado","Autónoma")))))))</f>
        <v/>
      </c>
      <c r="K84" s="19">
        <f>IF('_motor'!$B$664=0,"",'_motor'!$M$664-'_motor'!$O$664)</f>
        <v/>
      </c>
      <c r="L84" s="19">
        <f>IF('_motor'!$B$664=0,"",IF('_motor'!$O$664&lt;'_motor'!$M$664-2,"▲ VARIABLE OCULTA (sube "&amp;TEXT('_motor'!$M$664-'_motor'!$O$664,"0")&amp;" puestos)",IF('_motor'!$O$664&gt;'_motor'!$M$664+2,"▼ Sobrevalorada en directo (baja "&amp;TEXT('_motor'!$O$664-'_motor'!$M$664,"0")&amp;")","= Estable")))</f>
        <v/>
      </c>
    </row>
    <row r="85" spans="1:12" x14ac:dyDescent="0.2">
      <c r="A85" s="21">
        <f>IF('_motor'!$B$665=0,"",'02 · Variables'!$B$86)</f>
        <v/>
      </c>
      <c r="B85" s="19">
        <f>IF('_motor'!$B$665=0,"",'02 · Variables'!$C$86)</f>
        <v/>
      </c>
      <c r="C85" s="38">
        <f>IF('_motor'!$B$665=0,"",'_motor'!$E$665)</f>
        <v/>
      </c>
      <c r="D85" s="38">
        <f>IF('_motor'!$B$665=0,"",'_motor'!$F$665)</f>
        <v/>
      </c>
      <c r="E85" s="33">
        <f>IF(OR('_motor'!$B$665=0,'_motor'!$B$673=0),"",'_motor'!$E$665/'_motor'!$B$673)</f>
        <v/>
      </c>
      <c r="F85" s="33">
        <f>IF(OR('_motor'!$B$665=0,'_motor'!$B$673=0),"",'_motor'!$F$665/'_motor'!$B$673)</f>
        <v/>
      </c>
      <c r="G85" s="22">
        <f>IF('_motor'!$B$665=0,"",SUMPRODUCT('_motor'!$B$586:$B$665*('_motor'!$E$586:$E$665&gt;'_motor'!$E$665))+(SUMPRODUCT('_motor'!$B$586:$B$665*('_motor'!$E$586:$E$665='_motor'!$E$665))+1)/2)</f>
        <v/>
      </c>
      <c r="H85" s="22">
        <f>IF('_motor'!$B$665=0,"",SUMPRODUCT('_motor'!$B$586:$B$665*('_motor'!$F$586:$F$665&gt;'_motor'!$F$665))+(SUMPRODUCT('_motor'!$B$586:$B$665*('_motor'!$F$586:$F$665='_motor'!$F$665))+1)/2)</f>
        <v/>
      </c>
      <c r="I85" s="19">
        <f>IF('_motor'!$B$665=0,"",IF(AND(ABS('_motor'!$E$665-'_motor'!$B$669)&lt;='_motor'!$B$677+0.000000001,ABS('_motor'!$F$665-'_motor'!$B$669)&lt;='_motor'!$B$677+0.000000001),"5 · Pelotón (no concluyente)",IF(AND('_motor'!$E$665&gt;='_motor'!$B$669,'_motor'!$F$665&lt;'_motor'!$B$669),"1 · Entrada / determinante",IF(AND('_motor'!$E$665&gt;='_motor'!$B$669,'_motor'!$F$665&gt;='_motor'!$B$669),"2 · Intermedia / de enlace",IF(AND('_motor'!$E$665&lt;'_motor'!$B$669,'_motor'!$F$665&gt;='_motor'!$B$669),"3 · Resultado","4 · Excluida / autónoma")))))</f>
        <v/>
      </c>
      <c r="J85" s="19">
        <f>IF('_motor'!$B$665=0,"",IF(AND(ABS('_motor'!$E$665-'_motor'!$B$669)&lt;='_motor'!$B$677+0.000000001,ABS('_motor'!$F$665-'_motor'!$B$669)&lt;='_motor'!$B$677+0.000000001),"Reguladora",IF(AND('_motor'!$E$665&gt;='_motor'!$B$669,'_motor'!$F$665&lt;0.5*'_motor'!$B$669),"Determinante / entorno",IF(AND('_motor'!$E$665&gt;='_motor'!$B$669,'_motor'!$F$665&lt;'_motor'!$B$669),"Palanca secundaria",IF(AND('_motor'!$E$665&gt;='_motor'!$B$669,'_motor'!$F$665&gt;='_motor'!$B$669),"Clave / de enlace",IF(AND('_motor'!$F$665&gt;='_motor'!$B$669,'_motor'!$E$665&gt;=0.5*'_motor'!$B$669),"Objetivo",IF('_motor'!$F$665&gt;='_motor'!$B$669,"Resultado","Autónoma")))))))</f>
        <v/>
      </c>
      <c r="K85" s="19">
        <f>IF('_motor'!$B$665=0,"",'_motor'!$M$665-'_motor'!$O$665)</f>
        <v/>
      </c>
      <c r="L85" s="19">
        <f>IF('_motor'!$B$665=0,"",IF('_motor'!$O$665&lt;'_motor'!$M$665-2,"▲ VARIABLE OCULTA (sube "&amp;TEXT('_motor'!$M$665-'_motor'!$O$665,"0")&amp;" puestos)",IF('_motor'!$O$665&gt;'_motor'!$M$665+2,"▼ Sobrevalorada en directo (baja "&amp;TEXT('_motor'!$O$665-'_motor'!$M$665,"0")&amp;")","= Estable")))</f>
        <v/>
      </c>
    </row>
    <row r="87" spans="1:12" ht="30" x14ac:dyDescent="0.2">
      <c r="B87" s="16" t="s">
        <v>388</v>
      </c>
      <c r="C87" s="39">
        <f>'_motor'!$B$669</f>
      </c>
    </row>
    <row r="88" spans="1:12" ht="30" x14ac:dyDescent="0.2">
      <c r="B88" s="16" t="s">
        <v>389</v>
      </c>
      <c r="C88" s="39">
        <f>'_motor'!$B$677</f>
      </c>
    </row>
    <row r="89" spans="1:12" ht="23.75" customHeight="1" x14ac:dyDescent="0.2">
      <c r="B89" s="16" t="s">
        <v>390</v>
      </c>
      <c r="C89" s="2" t="s">
        <v>391</v>
      </c>
      <c r="D89" s="2"/>
      <c r="E89" s="2"/>
      <c r="F89" s="2"/>
      <c r="G89" s="2"/>
      <c r="H89" s="2"/>
      <c r="I89" s="2"/>
      <c r="J89" s="2"/>
    </row>
  </sheetData>
  <sheetProtection password="CD7E" sheet="1" formatCells="0" formatColumns="0" formatRows="0" insertRows="0"/>
  <mergeCells count="1">
    <mergeCell ref="C89:J89"/>
  </mergeCells>
  <conditionalFormatting sqref="I6:I85">
    <cfRule type="expression" dxfId="28" priority="2">
      <formula>ISNUMBER(SEARCH("1 ·",$I6))</formula>
    </cfRule>
    <cfRule type="expression" dxfId="27" priority="3">
      <formula>ISNUMBER(SEARCH("2 ·",$I6))</formula>
    </cfRule>
    <cfRule type="expression" dxfId="26" priority="4">
      <formula>ISNUMBER(SEARCH("3 ·",$I6))</formula>
    </cfRule>
    <cfRule type="expression" dxfId="25" priority="5">
      <formula>ISNUMBER(SEARCH("4 ·",$I6))</formula>
    </cfRule>
    <cfRule type="expression" dxfId="24" priority="6">
      <formula>ISNUMBER(SEARCH("5 ·",$I6))</formula>
    </cfRule>
  </conditionalFormatting>
  <pageMargins left="0.5" right="0.5" top="0.6" bottom="0.6" header="0.3" footer="0.3"/>
  <pageSetup paperSize="9" scale="100" fitToWidth="1" fitToHeight="0" orientation="landscape" horizontalDpi="300" verticalDpi="300"/>
  <headerFooter>
    <oddHeader>&amp;R&amp;"Aptos,Regular"&amp;8&amp;K94A0AE10 Res Indirectos</oddHeader>
    <oddFooter>&amp;L&amp;"Aptos,Regular"&amp;8&amp;K94A0AEIntelKIT · MICMAC Professional v1.0&amp;R&amp;"Aptos,Regular"&amp;8&amp;K94A0AEPágina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F82C0"/>
    <pageSetUpPr fitToPage="1"/>
  </sheetPr>
  <dimension ref="A1:J8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30" customWidth="1"/>
    <col min="3" max="4" width="13" customWidth="1"/>
    <col min="5" max="8" width="10" customWidth="1"/>
    <col min="9" max="9" width="30" customWidth="1"/>
    <col min="10" max="10" width="26" customWidth="1"/>
  </cols>
  <sheetData>
    <row r="1" spans="1:9" ht="24" customHeight="1">
      <c r="A1" s="68"/>
      <c r="B1" s="65" t="inlineStr">
        <is>
          <t>◀ Inicio</t>
        </is>
      </c>
      <c r="C1" s="66" t="inlineStr">
        <is>
          <t>Bloque 3 · Resultados   ·   Clasificación potencial   ·   Paso 11 de 22</t>
        </is>
      </c>
      <c r="D1" s="68"/>
      <c r="E1" s="68"/>
      <c r="F1" s="68"/>
      <c r="G1" s="68"/>
      <c r="H1" s="68"/>
      <c r="I1" s="67" t="inlineStr">
        <is>
          <t>Continuar ▶</t>
        </is>
      </c>
    </row>
    <row r="2" spans="1:10" ht="26" x14ac:dyDescent="0.2" customHeight="1">
      <c r="B2" s="72" t="s">
        <v>396</v>
      </c>
    </row>
    <row r="3" spans="1:10" ht="22" x14ac:dyDescent="0.2" customHeight="1">
      <c r="B3" s="73" t="s">
        <v>397</v>
      </c>
    </row>
    <row r="5" spans="1:10" x14ac:dyDescent="0.2">
      <c r="A5" s="20" t="s">
        <v>147</v>
      </c>
      <c r="B5" s="20" t="s">
        <v>379</v>
      </c>
      <c r="C5" s="20" t="s">
        <v>380</v>
      </c>
      <c r="D5" s="20" t="s">
        <v>381</v>
      </c>
      <c r="E5" s="20" t="s">
        <v>382</v>
      </c>
      <c r="F5" s="20" t="s">
        <v>383</v>
      </c>
      <c r="G5" s="20" t="s">
        <v>384</v>
      </c>
      <c r="H5" s="20" t="s">
        <v>385</v>
      </c>
      <c r="I5" s="20" t="s">
        <v>386</v>
      </c>
      <c r="J5" s="20" t="s">
        <v>387</v>
      </c>
    </row>
    <row r="6" spans="1:10" x14ac:dyDescent="0.2">
      <c r="A6" s="21">
        <f>IF('_motor'!$B$586=0,"",'02 · Variables'!$B$7)</f>
        <v/>
      </c>
      <c r="B6" s="19">
        <f>IF('_motor'!$B$586=0,"",'02 · Variables'!$C$7)</f>
        <v/>
      </c>
      <c r="C6" s="38">
        <f>IF('_motor'!$B$586=0,"",'_motor'!$G$586)</f>
        <v/>
      </c>
      <c r="D6" s="38">
        <f>IF('_motor'!$B$586=0,"",'_motor'!$H$586)</f>
        <v/>
      </c>
      <c r="E6" s="33">
        <f>IF(OR('_motor'!$B$586=0,'_motor'!$B$674=0),"",'_motor'!$G$586/'_motor'!$B$674)</f>
        <v/>
      </c>
      <c r="F6" s="33">
        <f>IF(OR('_motor'!$B$586=0,'_motor'!$B$674=0),"",'_motor'!$H$586/'_motor'!$B$674)</f>
        <v/>
      </c>
      <c r="G6" s="22">
        <f>IF('_motor'!$B$586=0,"",SUMPRODUCT('_motor'!$B$586:$B$665*('_motor'!$G$586:$G$665&gt;'_motor'!$G$586))+(SUMPRODUCT('_motor'!$B$586:$B$665*('_motor'!$G$586:$G$665='_motor'!$G$586))+1)/2)</f>
        <v/>
      </c>
      <c r="H6" s="22">
        <f>IF('_motor'!$B$586=0,"",SUMPRODUCT('_motor'!$B$586:$B$665*('_motor'!$H$586:$H$665&gt;'_motor'!$H$586))+(SUMPRODUCT('_motor'!$B$586:$B$665*('_motor'!$H$586:$H$665='_motor'!$H$586))+1)/2)</f>
        <v/>
      </c>
      <c r="I6" s="19">
        <f>IF('_motor'!$B$586=0,"",IF(AND(ABS('_motor'!$G$586-'_motor'!$B$670)&lt;='_motor'!$B$678+0.000000001,ABS('_motor'!$H$586-'_motor'!$B$670)&lt;='_motor'!$B$678+0.000000001),"5 · Pelotón (no concluyente)",IF(AND('_motor'!$G$586&gt;='_motor'!$B$670,'_motor'!$H$586&lt;'_motor'!$B$670),"1 · Entrada / determinante",IF(AND('_motor'!$G$586&gt;='_motor'!$B$670,'_motor'!$H$586&gt;='_motor'!$B$670),"2 · Intermedia / de enlace",IF(AND('_motor'!$G$586&lt;'_motor'!$B$670,'_motor'!$H$586&gt;='_motor'!$B$670),"3 · Resultado","4 · Excluida / autónoma")))))</f>
        <v/>
      </c>
      <c r="J6" s="19">
        <f>IF('_motor'!$B$586=0,"",IF(AND(ABS('_motor'!$G$586-'_motor'!$B$670)&lt;='_motor'!$B$678+0.000000001,ABS('_motor'!$H$586-'_motor'!$B$670)&lt;='_motor'!$B$678+0.000000001),"Reguladora",IF(AND('_motor'!$G$586&gt;='_motor'!$B$670,'_motor'!$H$586&lt;0.5*'_motor'!$B$670),"Determinante / entorno",IF(AND('_motor'!$G$586&gt;='_motor'!$B$670,'_motor'!$H$586&lt;'_motor'!$B$670),"Palanca secundaria",IF(AND('_motor'!$G$586&gt;='_motor'!$B$670,'_motor'!$H$586&gt;='_motor'!$B$670),"Clave / de enlace",IF(AND('_motor'!$H$586&gt;='_motor'!$B$670,'_motor'!$G$586&gt;=0.5*'_motor'!$B$670),"Objetivo",IF('_motor'!$H$586&gt;='_motor'!$B$670,"Resultado","Autónoma")))))))</f>
        <v/>
      </c>
    </row>
    <row r="7" spans="1:10" x14ac:dyDescent="0.2">
      <c r="A7" s="21">
        <f>IF('_motor'!$B$587=0,"",'02 · Variables'!$B$8)</f>
        <v/>
      </c>
      <c r="B7" s="19">
        <f>IF('_motor'!$B$587=0,"",'02 · Variables'!$C$8)</f>
        <v/>
      </c>
      <c r="C7" s="38">
        <f>IF('_motor'!$B$587=0,"",'_motor'!$G$587)</f>
        <v/>
      </c>
      <c r="D7" s="38">
        <f>IF('_motor'!$B$587=0,"",'_motor'!$H$587)</f>
        <v/>
      </c>
      <c r="E7" s="33">
        <f>IF(OR('_motor'!$B$587=0,'_motor'!$B$674=0),"",'_motor'!$G$587/'_motor'!$B$674)</f>
        <v/>
      </c>
      <c r="F7" s="33">
        <f>IF(OR('_motor'!$B$587=0,'_motor'!$B$674=0),"",'_motor'!$H$587/'_motor'!$B$674)</f>
        <v/>
      </c>
      <c r="G7" s="22">
        <f>IF('_motor'!$B$587=0,"",SUMPRODUCT('_motor'!$B$586:$B$665*('_motor'!$G$586:$G$665&gt;'_motor'!$G$587))+(SUMPRODUCT('_motor'!$B$586:$B$665*('_motor'!$G$586:$G$665='_motor'!$G$587))+1)/2)</f>
        <v/>
      </c>
      <c r="H7" s="22">
        <f>IF('_motor'!$B$587=0,"",SUMPRODUCT('_motor'!$B$586:$B$665*('_motor'!$H$586:$H$665&gt;'_motor'!$H$587))+(SUMPRODUCT('_motor'!$B$586:$B$665*('_motor'!$H$586:$H$665='_motor'!$H$587))+1)/2)</f>
        <v/>
      </c>
      <c r="I7" s="19">
        <f>IF('_motor'!$B$587=0,"",IF(AND(ABS('_motor'!$G$587-'_motor'!$B$670)&lt;='_motor'!$B$678+0.000000001,ABS('_motor'!$H$587-'_motor'!$B$670)&lt;='_motor'!$B$678+0.000000001),"5 · Pelotón (no concluyente)",IF(AND('_motor'!$G$587&gt;='_motor'!$B$670,'_motor'!$H$587&lt;'_motor'!$B$670),"1 · Entrada / determinante",IF(AND('_motor'!$G$587&gt;='_motor'!$B$670,'_motor'!$H$587&gt;='_motor'!$B$670),"2 · Intermedia / de enlace",IF(AND('_motor'!$G$587&lt;'_motor'!$B$670,'_motor'!$H$587&gt;='_motor'!$B$670),"3 · Resultado","4 · Excluida / autónoma")))))</f>
        <v/>
      </c>
      <c r="J7" s="19">
        <f>IF('_motor'!$B$587=0,"",IF(AND(ABS('_motor'!$G$587-'_motor'!$B$670)&lt;='_motor'!$B$678+0.000000001,ABS('_motor'!$H$587-'_motor'!$B$670)&lt;='_motor'!$B$678+0.000000001),"Reguladora",IF(AND('_motor'!$G$587&gt;='_motor'!$B$670,'_motor'!$H$587&lt;0.5*'_motor'!$B$670),"Determinante / entorno",IF(AND('_motor'!$G$587&gt;='_motor'!$B$670,'_motor'!$H$587&lt;'_motor'!$B$670),"Palanca secundaria",IF(AND('_motor'!$G$587&gt;='_motor'!$B$670,'_motor'!$H$587&gt;='_motor'!$B$670),"Clave / de enlace",IF(AND('_motor'!$H$587&gt;='_motor'!$B$670,'_motor'!$G$587&gt;=0.5*'_motor'!$B$670),"Objetivo",IF('_motor'!$H$587&gt;='_motor'!$B$670,"Resultado","Autónoma")))))))</f>
        <v/>
      </c>
    </row>
    <row r="8" spans="1:10" x14ac:dyDescent="0.2">
      <c r="A8" s="21">
        <f>IF('_motor'!$B$588=0,"",'02 · Variables'!$B$9)</f>
        <v/>
      </c>
      <c r="B8" s="19">
        <f>IF('_motor'!$B$588=0,"",'02 · Variables'!$C$9)</f>
        <v/>
      </c>
      <c r="C8" s="38">
        <f>IF('_motor'!$B$588=0,"",'_motor'!$G$588)</f>
        <v/>
      </c>
      <c r="D8" s="38">
        <f>IF('_motor'!$B$588=0,"",'_motor'!$H$588)</f>
        <v/>
      </c>
      <c r="E8" s="33">
        <f>IF(OR('_motor'!$B$588=0,'_motor'!$B$674=0),"",'_motor'!$G$588/'_motor'!$B$674)</f>
        <v/>
      </c>
      <c r="F8" s="33">
        <f>IF(OR('_motor'!$B$588=0,'_motor'!$B$674=0),"",'_motor'!$H$588/'_motor'!$B$674)</f>
        <v/>
      </c>
      <c r="G8" s="22">
        <f>IF('_motor'!$B$588=0,"",SUMPRODUCT('_motor'!$B$586:$B$665*('_motor'!$G$586:$G$665&gt;'_motor'!$G$588))+(SUMPRODUCT('_motor'!$B$586:$B$665*('_motor'!$G$586:$G$665='_motor'!$G$588))+1)/2)</f>
        <v/>
      </c>
      <c r="H8" s="22">
        <f>IF('_motor'!$B$588=0,"",SUMPRODUCT('_motor'!$B$586:$B$665*('_motor'!$H$586:$H$665&gt;'_motor'!$H$588))+(SUMPRODUCT('_motor'!$B$586:$B$665*('_motor'!$H$586:$H$665='_motor'!$H$588))+1)/2)</f>
        <v/>
      </c>
      <c r="I8" s="19">
        <f>IF('_motor'!$B$588=0,"",IF(AND(ABS('_motor'!$G$588-'_motor'!$B$670)&lt;='_motor'!$B$678+0.000000001,ABS('_motor'!$H$588-'_motor'!$B$670)&lt;='_motor'!$B$678+0.000000001),"5 · Pelotón (no concluyente)",IF(AND('_motor'!$G$588&gt;='_motor'!$B$670,'_motor'!$H$588&lt;'_motor'!$B$670),"1 · Entrada / determinante",IF(AND('_motor'!$G$588&gt;='_motor'!$B$670,'_motor'!$H$588&gt;='_motor'!$B$670),"2 · Intermedia / de enlace",IF(AND('_motor'!$G$588&lt;'_motor'!$B$670,'_motor'!$H$588&gt;='_motor'!$B$670),"3 · Resultado","4 · Excluida / autónoma")))))</f>
        <v/>
      </c>
      <c r="J8" s="19">
        <f>IF('_motor'!$B$588=0,"",IF(AND(ABS('_motor'!$G$588-'_motor'!$B$670)&lt;='_motor'!$B$678+0.000000001,ABS('_motor'!$H$588-'_motor'!$B$670)&lt;='_motor'!$B$678+0.000000001),"Reguladora",IF(AND('_motor'!$G$588&gt;='_motor'!$B$670,'_motor'!$H$588&lt;0.5*'_motor'!$B$670),"Determinante / entorno",IF(AND('_motor'!$G$588&gt;='_motor'!$B$670,'_motor'!$H$588&lt;'_motor'!$B$670),"Palanca secundaria",IF(AND('_motor'!$G$588&gt;='_motor'!$B$670,'_motor'!$H$588&gt;='_motor'!$B$670),"Clave / de enlace",IF(AND('_motor'!$H$588&gt;='_motor'!$B$670,'_motor'!$G$588&gt;=0.5*'_motor'!$B$670),"Objetivo",IF('_motor'!$H$588&gt;='_motor'!$B$670,"Resultado","Autónoma")))))))</f>
        <v/>
      </c>
    </row>
    <row r="9" spans="1:10" x14ac:dyDescent="0.2">
      <c r="A9" s="21">
        <f>IF('_motor'!$B$589=0,"",'02 · Variables'!$B$10)</f>
        <v/>
      </c>
      <c r="B9" s="19">
        <f>IF('_motor'!$B$589=0,"",'02 · Variables'!$C$10)</f>
        <v/>
      </c>
      <c r="C9" s="38">
        <f>IF('_motor'!$B$589=0,"",'_motor'!$G$589)</f>
        <v/>
      </c>
      <c r="D9" s="38">
        <f>IF('_motor'!$B$589=0,"",'_motor'!$H$589)</f>
        <v/>
      </c>
      <c r="E9" s="33">
        <f>IF(OR('_motor'!$B$589=0,'_motor'!$B$674=0),"",'_motor'!$G$589/'_motor'!$B$674)</f>
        <v/>
      </c>
      <c r="F9" s="33">
        <f>IF(OR('_motor'!$B$589=0,'_motor'!$B$674=0),"",'_motor'!$H$589/'_motor'!$B$674)</f>
        <v/>
      </c>
      <c r="G9" s="22">
        <f>IF('_motor'!$B$589=0,"",SUMPRODUCT('_motor'!$B$586:$B$665*('_motor'!$G$586:$G$665&gt;'_motor'!$G$589))+(SUMPRODUCT('_motor'!$B$586:$B$665*('_motor'!$G$586:$G$665='_motor'!$G$589))+1)/2)</f>
        <v/>
      </c>
      <c r="H9" s="22">
        <f>IF('_motor'!$B$589=0,"",SUMPRODUCT('_motor'!$B$586:$B$665*('_motor'!$H$586:$H$665&gt;'_motor'!$H$589))+(SUMPRODUCT('_motor'!$B$586:$B$665*('_motor'!$H$586:$H$665='_motor'!$H$589))+1)/2)</f>
        <v/>
      </c>
      <c r="I9" s="19">
        <f>IF('_motor'!$B$589=0,"",IF(AND(ABS('_motor'!$G$589-'_motor'!$B$670)&lt;='_motor'!$B$678+0.000000001,ABS('_motor'!$H$589-'_motor'!$B$670)&lt;='_motor'!$B$678+0.000000001),"5 · Pelotón (no concluyente)",IF(AND('_motor'!$G$589&gt;='_motor'!$B$670,'_motor'!$H$589&lt;'_motor'!$B$670),"1 · Entrada / determinante",IF(AND('_motor'!$G$589&gt;='_motor'!$B$670,'_motor'!$H$589&gt;='_motor'!$B$670),"2 · Intermedia / de enlace",IF(AND('_motor'!$G$589&lt;'_motor'!$B$670,'_motor'!$H$589&gt;='_motor'!$B$670),"3 · Resultado","4 · Excluida / autónoma")))))</f>
        <v/>
      </c>
      <c r="J9" s="19">
        <f>IF('_motor'!$B$589=0,"",IF(AND(ABS('_motor'!$G$589-'_motor'!$B$670)&lt;='_motor'!$B$678+0.000000001,ABS('_motor'!$H$589-'_motor'!$B$670)&lt;='_motor'!$B$678+0.000000001),"Reguladora",IF(AND('_motor'!$G$589&gt;='_motor'!$B$670,'_motor'!$H$589&lt;0.5*'_motor'!$B$670),"Determinante / entorno",IF(AND('_motor'!$G$589&gt;='_motor'!$B$670,'_motor'!$H$589&lt;'_motor'!$B$670),"Palanca secundaria",IF(AND('_motor'!$G$589&gt;='_motor'!$B$670,'_motor'!$H$589&gt;='_motor'!$B$670),"Clave / de enlace",IF(AND('_motor'!$H$589&gt;='_motor'!$B$670,'_motor'!$G$589&gt;=0.5*'_motor'!$B$670),"Objetivo",IF('_motor'!$H$589&gt;='_motor'!$B$670,"Resultado","Autónoma")))))))</f>
        <v/>
      </c>
    </row>
    <row r="10" spans="1:10" x14ac:dyDescent="0.2">
      <c r="A10" s="21">
        <f>IF('_motor'!$B$590=0,"",'02 · Variables'!$B$11)</f>
        <v/>
      </c>
      <c r="B10" s="19">
        <f>IF('_motor'!$B$590=0,"",'02 · Variables'!$C$11)</f>
        <v/>
      </c>
      <c r="C10" s="38">
        <f>IF('_motor'!$B$590=0,"",'_motor'!$G$590)</f>
        <v/>
      </c>
      <c r="D10" s="38">
        <f>IF('_motor'!$B$590=0,"",'_motor'!$H$590)</f>
        <v/>
      </c>
      <c r="E10" s="33">
        <f>IF(OR('_motor'!$B$590=0,'_motor'!$B$674=0),"",'_motor'!$G$590/'_motor'!$B$674)</f>
        <v/>
      </c>
      <c r="F10" s="33">
        <f>IF(OR('_motor'!$B$590=0,'_motor'!$B$674=0),"",'_motor'!$H$590/'_motor'!$B$674)</f>
        <v/>
      </c>
      <c r="G10" s="22">
        <f>IF('_motor'!$B$590=0,"",SUMPRODUCT('_motor'!$B$586:$B$665*('_motor'!$G$586:$G$665&gt;'_motor'!$G$590))+(SUMPRODUCT('_motor'!$B$586:$B$665*('_motor'!$G$586:$G$665='_motor'!$G$590))+1)/2)</f>
        <v/>
      </c>
      <c r="H10" s="22">
        <f>IF('_motor'!$B$590=0,"",SUMPRODUCT('_motor'!$B$586:$B$665*('_motor'!$H$586:$H$665&gt;'_motor'!$H$590))+(SUMPRODUCT('_motor'!$B$586:$B$665*('_motor'!$H$586:$H$665='_motor'!$H$590))+1)/2)</f>
        <v/>
      </c>
      <c r="I10" s="19">
        <f>IF('_motor'!$B$590=0,"",IF(AND(ABS('_motor'!$G$590-'_motor'!$B$670)&lt;='_motor'!$B$678+0.000000001,ABS('_motor'!$H$590-'_motor'!$B$670)&lt;='_motor'!$B$678+0.000000001),"5 · Pelotón (no concluyente)",IF(AND('_motor'!$G$590&gt;='_motor'!$B$670,'_motor'!$H$590&lt;'_motor'!$B$670),"1 · Entrada / determinante",IF(AND('_motor'!$G$590&gt;='_motor'!$B$670,'_motor'!$H$590&gt;='_motor'!$B$670),"2 · Intermedia / de enlace",IF(AND('_motor'!$G$590&lt;'_motor'!$B$670,'_motor'!$H$590&gt;='_motor'!$B$670),"3 · Resultado","4 · Excluida / autónoma")))))</f>
        <v/>
      </c>
      <c r="J10" s="19">
        <f>IF('_motor'!$B$590=0,"",IF(AND(ABS('_motor'!$G$590-'_motor'!$B$670)&lt;='_motor'!$B$678+0.000000001,ABS('_motor'!$H$590-'_motor'!$B$670)&lt;='_motor'!$B$678+0.000000001),"Reguladora",IF(AND('_motor'!$G$590&gt;='_motor'!$B$670,'_motor'!$H$590&lt;0.5*'_motor'!$B$670),"Determinante / entorno",IF(AND('_motor'!$G$590&gt;='_motor'!$B$670,'_motor'!$H$590&lt;'_motor'!$B$670),"Palanca secundaria",IF(AND('_motor'!$G$590&gt;='_motor'!$B$670,'_motor'!$H$590&gt;='_motor'!$B$670),"Clave / de enlace",IF(AND('_motor'!$H$590&gt;='_motor'!$B$670,'_motor'!$G$590&gt;=0.5*'_motor'!$B$670),"Objetivo",IF('_motor'!$H$590&gt;='_motor'!$B$670,"Resultado","Autónoma")))))))</f>
        <v/>
      </c>
    </row>
    <row r="11" spans="1:10" x14ac:dyDescent="0.2">
      <c r="A11" s="21">
        <f>IF('_motor'!$B$591=0,"",'02 · Variables'!$B$12)</f>
        <v/>
      </c>
      <c r="B11" s="19">
        <f>IF('_motor'!$B$591=0,"",'02 · Variables'!$C$12)</f>
        <v/>
      </c>
      <c r="C11" s="38">
        <f>IF('_motor'!$B$591=0,"",'_motor'!$G$591)</f>
        <v/>
      </c>
      <c r="D11" s="38">
        <f>IF('_motor'!$B$591=0,"",'_motor'!$H$591)</f>
        <v/>
      </c>
      <c r="E11" s="33">
        <f>IF(OR('_motor'!$B$591=0,'_motor'!$B$674=0),"",'_motor'!$G$591/'_motor'!$B$674)</f>
        <v/>
      </c>
      <c r="F11" s="33">
        <f>IF(OR('_motor'!$B$591=0,'_motor'!$B$674=0),"",'_motor'!$H$591/'_motor'!$B$674)</f>
        <v/>
      </c>
      <c r="G11" s="22">
        <f>IF('_motor'!$B$591=0,"",SUMPRODUCT('_motor'!$B$586:$B$665*('_motor'!$G$586:$G$665&gt;'_motor'!$G$591))+(SUMPRODUCT('_motor'!$B$586:$B$665*('_motor'!$G$586:$G$665='_motor'!$G$591))+1)/2)</f>
        <v/>
      </c>
      <c r="H11" s="22">
        <f>IF('_motor'!$B$591=0,"",SUMPRODUCT('_motor'!$B$586:$B$665*('_motor'!$H$586:$H$665&gt;'_motor'!$H$591))+(SUMPRODUCT('_motor'!$B$586:$B$665*('_motor'!$H$586:$H$665='_motor'!$H$591))+1)/2)</f>
        <v/>
      </c>
      <c r="I11" s="19">
        <f>IF('_motor'!$B$591=0,"",IF(AND(ABS('_motor'!$G$591-'_motor'!$B$670)&lt;='_motor'!$B$678+0.000000001,ABS('_motor'!$H$591-'_motor'!$B$670)&lt;='_motor'!$B$678+0.000000001),"5 · Pelotón (no concluyente)",IF(AND('_motor'!$G$591&gt;='_motor'!$B$670,'_motor'!$H$591&lt;'_motor'!$B$670),"1 · Entrada / determinante",IF(AND('_motor'!$G$591&gt;='_motor'!$B$670,'_motor'!$H$591&gt;='_motor'!$B$670),"2 · Intermedia / de enlace",IF(AND('_motor'!$G$591&lt;'_motor'!$B$670,'_motor'!$H$591&gt;='_motor'!$B$670),"3 · Resultado","4 · Excluida / autónoma")))))</f>
        <v/>
      </c>
      <c r="J11" s="19">
        <f>IF('_motor'!$B$591=0,"",IF(AND(ABS('_motor'!$G$591-'_motor'!$B$670)&lt;='_motor'!$B$678+0.000000001,ABS('_motor'!$H$591-'_motor'!$B$670)&lt;='_motor'!$B$678+0.000000001),"Reguladora",IF(AND('_motor'!$G$591&gt;='_motor'!$B$670,'_motor'!$H$591&lt;0.5*'_motor'!$B$670),"Determinante / entorno",IF(AND('_motor'!$G$591&gt;='_motor'!$B$670,'_motor'!$H$591&lt;'_motor'!$B$670),"Palanca secundaria",IF(AND('_motor'!$G$591&gt;='_motor'!$B$670,'_motor'!$H$591&gt;='_motor'!$B$670),"Clave / de enlace",IF(AND('_motor'!$H$591&gt;='_motor'!$B$670,'_motor'!$G$591&gt;=0.5*'_motor'!$B$670),"Objetivo",IF('_motor'!$H$591&gt;='_motor'!$B$670,"Resultado","Autónoma")))))))</f>
        <v/>
      </c>
    </row>
    <row r="12" spans="1:10" x14ac:dyDescent="0.2">
      <c r="A12" s="21">
        <f>IF('_motor'!$B$592=0,"",'02 · Variables'!$B$13)</f>
        <v/>
      </c>
      <c r="B12" s="19">
        <f>IF('_motor'!$B$592=0,"",'02 · Variables'!$C$13)</f>
        <v/>
      </c>
      <c r="C12" s="38">
        <f>IF('_motor'!$B$592=0,"",'_motor'!$G$592)</f>
        <v/>
      </c>
      <c r="D12" s="38">
        <f>IF('_motor'!$B$592=0,"",'_motor'!$H$592)</f>
        <v/>
      </c>
      <c r="E12" s="33">
        <f>IF(OR('_motor'!$B$592=0,'_motor'!$B$674=0),"",'_motor'!$G$592/'_motor'!$B$674)</f>
        <v/>
      </c>
      <c r="F12" s="33">
        <f>IF(OR('_motor'!$B$592=0,'_motor'!$B$674=0),"",'_motor'!$H$592/'_motor'!$B$674)</f>
        <v/>
      </c>
      <c r="G12" s="22">
        <f>IF('_motor'!$B$592=0,"",SUMPRODUCT('_motor'!$B$586:$B$665*('_motor'!$G$586:$G$665&gt;'_motor'!$G$592))+(SUMPRODUCT('_motor'!$B$586:$B$665*('_motor'!$G$586:$G$665='_motor'!$G$592))+1)/2)</f>
        <v/>
      </c>
      <c r="H12" s="22">
        <f>IF('_motor'!$B$592=0,"",SUMPRODUCT('_motor'!$B$586:$B$665*('_motor'!$H$586:$H$665&gt;'_motor'!$H$592))+(SUMPRODUCT('_motor'!$B$586:$B$665*('_motor'!$H$586:$H$665='_motor'!$H$592))+1)/2)</f>
        <v/>
      </c>
      <c r="I12" s="19">
        <f>IF('_motor'!$B$592=0,"",IF(AND(ABS('_motor'!$G$592-'_motor'!$B$670)&lt;='_motor'!$B$678+0.000000001,ABS('_motor'!$H$592-'_motor'!$B$670)&lt;='_motor'!$B$678+0.000000001),"5 · Pelotón (no concluyente)",IF(AND('_motor'!$G$592&gt;='_motor'!$B$670,'_motor'!$H$592&lt;'_motor'!$B$670),"1 · Entrada / determinante",IF(AND('_motor'!$G$592&gt;='_motor'!$B$670,'_motor'!$H$592&gt;='_motor'!$B$670),"2 · Intermedia / de enlace",IF(AND('_motor'!$G$592&lt;'_motor'!$B$670,'_motor'!$H$592&gt;='_motor'!$B$670),"3 · Resultado","4 · Excluida / autónoma")))))</f>
        <v/>
      </c>
      <c r="J12" s="19">
        <f>IF('_motor'!$B$592=0,"",IF(AND(ABS('_motor'!$G$592-'_motor'!$B$670)&lt;='_motor'!$B$678+0.000000001,ABS('_motor'!$H$592-'_motor'!$B$670)&lt;='_motor'!$B$678+0.000000001),"Reguladora",IF(AND('_motor'!$G$592&gt;='_motor'!$B$670,'_motor'!$H$592&lt;0.5*'_motor'!$B$670),"Determinante / entorno",IF(AND('_motor'!$G$592&gt;='_motor'!$B$670,'_motor'!$H$592&lt;'_motor'!$B$670),"Palanca secundaria",IF(AND('_motor'!$G$592&gt;='_motor'!$B$670,'_motor'!$H$592&gt;='_motor'!$B$670),"Clave / de enlace",IF(AND('_motor'!$H$592&gt;='_motor'!$B$670,'_motor'!$G$592&gt;=0.5*'_motor'!$B$670),"Objetivo",IF('_motor'!$H$592&gt;='_motor'!$B$670,"Resultado","Autónoma")))))))</f>
        <v/>
      </c>
    </row>
    <row r="13" spans="1:10" x14ac:dyDescent="0.2">
      <c r="A13" s="21">
        <f>IF('_motor'!$B$593=0,"",'02 · Variables'!$B$14)</f>
        <v/>
      </c>
      <c r="B13" s="19">
        <f>IF('_motor'!$B$593=0,"",'02 · Variables'!$C$14)</f>
        <v/>
      </c>
      <c r="C13" s="38">
        <f>IF('_motor'!$B$593=0,"",'_motor'!$G$593)</f>
        <v/>
      </c>
      <c r="D13" s="38">
        <f>IF('_motor'!$B$593=0,"",'_motor'!$H$593)</f>
        <v/>
      </c>
      <c r="E13" s="33">
        <f>IF(OR('_motor'!$B$593=0,'_motor'!$B$674=0),"",'_motor'!$G$593/'_motor'!$B$674)</f>
        <v/>
      </c>
      <c r="F13" s="33">
        <f>IF(OR('_motor'!$B$593=0,'_motor'!$B$674=0),"",'_motor'!$H$593/'_motor'!$B$674)</f>
        <v/>
      </c>
      <c r="G13" s="22">
        <f>IF('_motor'!$B$593=0,"",SUMPRODUCT('_motor'!$B$586:$B$665*('_motor'!$G$586:$G$665&gt;'_motor'!$G$593))+(SUMPRODUCT('_motor'!$B$586:$B$665*('_motor'!$G$586:$G$665='_motor'!$G$593))+1)/2)</f>
        <v/>
      </c>
      <c r="H13" s="22">
        <f>IF('_motor'!$B$593=0,"",SUMPRODUCT('_motor'!$B$586:$B$665*('_motor'!$H$586:$H$665&gt;'_motor'!$H$593))+(SUMPRODUCT('_motor'!$B$586:$B$665*('_motor'!$H$586:$H$665='_motor'!$H$593))+1)/2)</f>
        <v/>
      </c>
      <c r="I13" s="19">
        <f>IF('_motor'!$B$593=0,"",IF(AND(ABS('_motor'!$G$593-'_motor'!$B$670)&lt;='_motor'!$B$678+0.000000001,ABS('_motor'!$H$593-'_motor'!$B$670)&lt;='_motor'!$B$678+0.000000001),"5 · Pelotón (no concluyente)",IF(AND('_motor'!$G$593&gt;='_motor'!$B$670,'_motor'!$H$593&lt;'_motor'!$B$670),"1 · Entrada / determinante",IF(AND('_motor'!$G$593&gt;='_motor'!$B$670,'_motor'!$H$593&gt;='_motor'!$B$670),"2 · Intermedia / de enlace",IF(AND('_motor'!$G$593&lt;'_motor'!$B$670,'_motor'!$H$593&gt;='_motor'!$B$670),"3 · Resultado","4 · Excluida / autónoma")))))</f>
        <v/>
      </c>
      <c r="J13" s="19">
        <f>IF('_motor'!$B$593=0,"",IF(AND(ABS('_motor'!$G$593-'_motor'!$B$670)&lt;='_motor'!$B$678+0.000000001,ABS('_motor'!$H$593-'_motor'!$B$670)&lt;='_motor'!$B$678+0.000000001),"Reguladora",IF(AND('_motor'!$G$593&gt;='_motor'!$B$670,'_motor'!$H$593&lt;0.5*'_motor'!$B$670),"Determinante / entorno",IF(AND('_motor'!$G$593&gt;='_motor'!$B$670,'_motor'!$H$593&lt;'_motor'!$B$670),"Palanca secundaria",IF(AND('_motor'!$G$593&gt;='_motor'!$B$670,'_motor'!$H$593&gt;='_motor'!$B$670),"Clave / de enlace",IF(AND('_motor'!$H$593&gt;='_motor'!$B$670,'_motor'!$G$593&gt;=0.5*'_motor'!$B$670),"Objetivo",IF('_motor'!$H$593&gt;='_motor'!$B$670,"Resultado","Autónoma")))))))</f>
        <v/>
      </c>
    </row>
    <row r="14" spans="1:10" x14ac:dyDescent="0.2">
      <c r="A14" s="21">
        <f>IF('_motor'!$B$594=0,"",'02 · Variables'!$B$15)</f>
        <v/>
      </c>
      <c r="B14" s="19">
        <f>IF('_motor'!$B$594=0,"",'02 · Variables'!$C$15)</f>
        <v/>
      </c>
      <c r="C14" s="38">
        <f>IF('_motor'!$B$594=0,"",'_motor'!$G$594)</f>
        <v/>
      </c>
      <c r="D14" s="38">
        <f>IF('_motor'!$B$594=0,"",'_motor'!$H$594)</f>
        <v/>
      </c>
      <c r="E14" s="33">
        <f>IF(OR('_motor'!$B$594=0,'_motor'!$B$674=0),"",'_motor'!$G$594/'_motor'!$B$674)</f>
        <v/>
      </c>
      <c r="F14" s="33">
        <f>IF(OR('_motor'!$B$594=0,'_motor'!$B$674=0),"",'_motor'!$H$594/'_motor'!$B$674)</f>
        <v/>
      </c>
      <c r="G14" s="22">
        <f>IF('_motor'!$B$594=0,"",SUMPRODUCT('_motor'!$B$586:$B$665*('_motor'!$G$586:$G$665&gt;'_motor'!$G$594))+(SUMPRODUCT('_motor'!$B$586:$B$665*('_motor'!$G$586:$G$665='_motor'!$G$594))+1)/2)</f>
        <v/>
      </c>
      <c r="H14" s="22">
        <f>IF('_motor'!$B$594=0,"",SUMPRODUCT('_motor'!$B$586:$B$665*('_motor'!$H$586:$H$665&gt;'_motor'!$H$594))+(SUMPRODUCT('_motor'!$B$586:$B$665*('_motor'!$H$586:$H$665='_motor'!$H$594))+1)/2)</f>
        <v/>
      </c>
      <c r="I14" s="19">
        <f>IF('_motor'!$B$594=0,"",IF(AND(ABS('_motor'!$G$594-'_motor'!$B$670)&lt;='_motor'!$B$678+0.000000001,ABS('_motor'!$H$594-'_motor'!$B$670)&lt;='_motor'!$B$678+0.000000001),"5 · Pelotón (no concluyente)",IF(AND('_motor'!$G$594&gt;='_motor'!$B$670,'_motor'!$H$594&lt;'_motor'!$B$670),"1 · Entrada / determinante",IF(AND('_motor'!$G$594&gt;='_motor'!$B$670,'_motor'!$H$594&gt;='_motor'!$B$670),"2 · Intermedia / de enlace",IF(AND('_motor'!$G$594&lt;'_motor'!$B$670,'_motor'!$H$594&gt;='_motor'!$B$670),"3 · Resultado","4 · Excluida / autónoma")))))</f>
        <v/>
      </c>
      <c r="J14" s="19">
        <f>IF('_motor'!$B$594=0,"",IF(AND(ABS('_motor'!$G$594-'_motor'!$B$670)&lt;='_motor'!$B$678+0.000000001,ABS('_motor'!$H$594-'_motor'!$B$670)&lt;='_motor'!$B$678+0.000000001),"Reguladora",IF(AND('_motor'!$G$594&gt;='_motor'!$B$670,'_motor'!$H$594&lt;0.5*'_motor'!$B$670),"Determinante / entorno",IF(AND('_motor'!$G$594&gt;='_motor'!$B$670,'_motor'!$H$594&lt;'_motor'!$B$670),"Palanca secundaria",IF(AND('_motor'!$G$594&gt;='_motor'!$B$670,'_motor'!$H$594&gt;='_motor'!$B$670),"Clave / de enlace",IF(AND('_motor'!$H$594&gt;='_motor'!$B$670,'_motor'!$G$594&gt;=0.5*'_motor'!$B$670),"Objetivo",IF('_motor'!$H$594&gt;='_motor'!$B$670,"Resultado","Autónoma")))))))</f>
        <v/>
      </c>
    </row>
    <row r="15" spans="1:10" x14ac:dyDescent="0.2">
      <c r="A15" s="21">
        <f>IF('_motor'!$B$595=0,"",'02 · Variables'!$B$16)</f>
        <v/>
      </c>
      <c r="B15" s="19">
        <f>IF('_motor'!$B$595=0,"",'02 · Variables'!$C$16)</f>
        <v/>
      </c>
      <c r="C15" s="38">
        <f>IF('_motor'!$B$595=0,"",'_motor'!$G$595)</f>
        <v/>
      </c>
      <c r="D15" s="38">
        <f>IF('_motor'!$B$595=0,"",'_motor'!$H$595)</f>
        <v/>
      </c>
      <c r="E15" s="33">
        <f>IF(OR('_motor'!$B$595=0,'_motor'!$B$674=0),"",'_motor'!$G$595/'_motor'!$B$674)</f>
        <v/>
      </c>
      <c r="F15" s="33">
        <f>IF(OR('_motor'!$B$595=0,'_motor'!$B$674=0),"",'_motor'!$H$595/'_motor'!$B$674)</f>
        <v/>
      </c>
      <c r="G15" s="22">
        <f>IF('_motor'!$B$595=0,"",SUMPRODUCT('_motor'!$B$586:$B$665*('_motor'!$G$586:$G$665&gt;'_motor'!$G$595))+(SUMPRODUCT('_motor'!$B$586:$B$665*('_motor'!$G$586:$G$665='_motor'!$G$595))+1)/2)</f>
        <v/>
      </c>
      <c r="H15" s="22">
        <f>IF('_motor'!$B$595=0,"",SUMPRODUCT('_motor'!$B$586:$B$665*('_motor'!$H$586:$H$665&gt;'_motor'!$H$595))+(SUMPRODUCT('_motor'!$B$586:$B$665*('_motor'!$H$586:$H$665='_motor'!$H$595))+1)/2)</f>
        <v/>
      </c>
      <c r="I15" s="19">
        <f>IF('_motor'!$B$595=0,"",IF(AND(ABS('_motor'!$G$595-'_motor'!$B$670)&lt;='_motor'!$B$678+0.000000001,ABS('_motor'!$H$595-'_motor'!$B$670)&lt;='_motor'!$B$678+0.000000001),"5 · Pelotón (no concluyente)",IF(AND('_motor'!$G$595&gt;='_motor'!$B$670,'_motor'!$H$595&lt;'_motor'!$B$670),"1 · Entrada / determinante",IF(AND('_motor'!$G$595&gt;='_motor'!$B$670,'_motor'!$H$595&gt;='_motor'!$B$670),"2 · Intermedia / de enlace",IF(AND('_motor'!$G$595&lt;'_motor'!$B$670,'_motor'!$H$595&gt;='_motor'!$B$670),"3 · Resultado","4 · Excluida / autónoma")))))</f>
        <v/>
      </c>
      <c r="J15" s="19">
        <f>IF('_motor'!$B$595=0,"",IF(AND(ABS('_motor'!$G$595-'_motor'!$B$670)&lt;='_motor'!$B$678+0.000000001,ABS('_motor'!$H$595-'_motor'!$B$670)&lt;='_motor'!$B$678+0.000000001),"Reguladora",IF(AND('_motor'!$G$595&gt;='_motor'!$B$670,'_motor'!$H$595&lt;0.5*'_motor'!$B$670),"Determinante / entorno",IF(AND('_motor'!$G$595&gt;='_motor'!$B$670,'_motor'!$H$595&lt;'_motor'!$B$670),"Palanca secundaria",IF(AND('_motor'!$G$595&gt;='_motor'!$B$670,'_motor'!$H$595&gt;='_motor'!$B$670),"Clave / de enlace",IF(AND('_motor'!$H$595&gt;='_motor'!$B$670,'_motor'!$G$595&gt;=0.5*'_motor'!$B$670),"Objetivo",IF('_motor'!$H$595&gt;='_motor'!$B$670,"Resultado","Autónoma")))))))</f>
        <v/>
      </c>
    </row>
    <row r="16" spans="1:10" x14ac:dyDescent="0.2">
      <c r="A16" s="21">
        <f>IF('_motor'!$B$596=0,"",'02 · Variables'!$B$17)</f>
        <v/>
      </c>
      <c r="B16" s="19">
        <f>IF('_motor'!$B$596=0,"",'02 · Variables'!$C$17)</f>
        <v/>
      </c>
      <c r="C16" s="38">
        <f>IF('_motor'!$B$596=0,"",'_motor'!$G$596)</f>
        <v/>
      </c>
      <c r="D16" s="38">
        <f>IF('_motor'!$B$596=0,"",'_motor'!$H$596)</f>
        <v/>
      </c>
      <c r="E16" s="33">
        <f>IF(OR('_motor'!$B$596=0,'_motor'!$B$674=0),"",'_motor'!$G$596/'_motor'!$B$674)</f>
        <v/>
      </c>
      <c r="F16" s="33">
        <f>IF(OR('_motor'!$B$596=0,'_motor'!$B$674=0),"",'_motor'!$H$596/'_motor'!$B$674)</f>
        <v/>
      </c>
      <c r="G16" s="22">
        <f>IF('_motor'!$B$596=0,"",SUMPRODUCT('_motor'!$B$586:$B$665*('_motor'!$G$586:$G$665&gt;'_motor'!$G$596))+(SUMPRODUCT('_motor'!$B$586:$B$665*('_motor'!$G$586:$G$665='_motor'!$G$596))+1)/2)</f>
        <v/>
      </c>
      <c r="H16" s="22">
        <f>IF('_motor'!$B$596=0,"",SUMPRODUCT('_motor'!$B$586:$B$665*('_motor'!$H$586:$H$665&gt;'_motor'!$H$596))+(SUMPRODUCT('_motor'!$B$586:$B$665*('_motor'!$H$586:$H$665='_motor'!$H$596))+1)/2)</f>
        <v/>
      </c>
      <c r="I16" s="19">
        <f>IF('_motor'!$B$596=0,"",IF(AND(ABS('_motor'!$G$596-'_motor'!$B$670)&lt;='_motor'!$B$678+0.000000001,ABS('_motor'!$H$596-'_motor'!$B$670)&lt;='_motor'!$B$678+0.000000001),"5 · Pelotón (no concluyente)",IF(AND('_motor'!$G$596&gt;='_motor'!$B$670,'_motor'!$H$596&lt;'_motor'!$B$670),"1 · Entrada / determinante",IF(AND('_motor'!$G$596&gt;='_motor'!$B$670,'_motor'!$H$596&gt;='_motor'!$B$670),"2 · Intermedia / de enlace",IF(AND('_motor'!$G$596&lt;'_motor'!$B$670,'_motor'!$H$596&gt;='_motor'!$B$670),"3 · Resultado","4 · Excluida / autónoma")))))</f>
        <v/>
      </c>
      <c r="J16" s="19">
        <f>IF('_motor'!$B$596=0,"",IF(AND(ABS('_motor'!$G$596-'_motor'!$B$670)&lt;='_motor'!$B$678+0.000000001,ABS('_motor'!$H$596-'_motor'!$B$670)&lt;='_motor'!$B$678+0.000000001),"Reguladora",IF(AND('_motor'!$G$596&gt;='_motor'!$B$670,'_motor'!$H$596&lt;0.5*'_motor'!$B$670),"Determinante / entorno",IF(AND('_motor'!$G$596&gt;='_motor'!$B$670,'_motor'!$H$596&lt;'_motor'!$B$670),"Palanca secundaria",IF(AND('_motor'!$G$596&gt;='_motor'!$B$670,'_motor'!$H$596&gt;='_motor'!$B$670),"Clave / de enlace",IF(AND('_motor'!$H$596&gt;='_motor'!$B$670,'_motor'!$G$596&gt;=0.5*'_motor'!$B$670),"Objetivo",IF('_motor'!$H$596&gt;='_motor'!$B$670,"Resultado","Autónoma")))))))</f>
        <v/>
      </c>
    </row>
    <row r="17" spans="1:10" x14ac:dyDescent="0.2">
      <c r="A17" s="21">
        <f>IF('_motor'!$B$597=0,"",'02 · Variables'!$B$18)</f>
        <v/>
      </c>
      <c r="B17" s="19">
        <f>IF('_motor'!$B$597=0,"",'02 · Variables'!$C$18)</f>
        <v/>
      </c>
      <c r="C17" s="38">
        <f>IF('_motor'!$B$597=0,"",'_motor'!$G$597)</f>
        <v/>
      </c>
      <c r="D17" s="38">
        <f>IF('_motor'!$B$597=0,"",'_motor'!$H$597)</f>
        <v/>
      </c>
      <c r="E17" s="33">
        <f>IF(OR('_motor'!$B$597=0,'_motor'!$B$674=0),"",'_motor'!$G$597/'_motor'!$B$674)</f>
        <v/>
      </c>
      <c r="F17" s="33">
        <f>IF(OR('_motor'!$B$597=0,'_motor'!$B$674=0),"",'_motor'!$H$597/'_motor'!$B$674)</f>
        <v/>
      </c>
      <c r="G17" s="22">
        <f>IF('_motor'!$B$597=0,"",SUMPRODUCT('_motor'!$B$586:$B$665*('_motor'!$G$586:$G$665&gt;'_motor'!$G$597))+(SUMPRODUCT('_motor'!$B$586:$B$665*('_motor'!$G$586:$G$665='_motor'!$G$597))+1)/2)</f>
        <v/>
      </c>
      <c r="H17" s="22">
        <f>IF('_motor'!$B$597=0,"",SUMPRODUCT('_motor'!$B$586:$B$665*('_motor'!$H$586:$H$665&gt;'_motor'!$H$597))+(SUMPRODUCT('_motor'!$B$586:$B$665*('_motor'!$H$586:$H$665='_motor'!$H$597))+1)/2)</f>
        <v/>
      </c>
      <c r="I17" s="19">
        <f>IF('_motor'!$B$597=0,"",IF(AND(ABS('_motor'!$G$597-'_motor'!$B$670)&lt;='_motor'!$B$678+0.000000001,ABS('_motor'!$H$597-'_motor'!$B$670)&lt;='_motor'!$B$678+0.000000001),"5 · Pelotón (no concluyente)",IF(AND('_motor'!$G$597&gt;='_motor'!$B$670,'_motor'!$H$597&lt;'_motor'!$B$670),"1 · Entrada / determinante",IF(AND('_motor'!$G$597&gt;='_motor'!$B$670,'_motor'!$H$597&gt;='_motor'!$B$670),"2 · Intermedia / de enlace",IF(AND('_motor'!$G$597&lt;'_motor'!$B$670,'_motor'!$H$597&gt;='_motor'!$B$670),"3 · Resultado","4 · Excluida / autónoma")))))</f>
        <v/>
      </c>
      <c r="J17" s="19">
        <f>IF('_motor'!$B$597=0,"",IF(AND(ABS('_motor'!$G$597-'_motor'!$B$670)&lt;='_motor'!$B$678+0.000000001,ABS('_motor'!$H$597-'_motor'!$B$670)&lt;='_motor'!$B$678+0.000000001),"Reguladora",IF(AND('_motor'!$G$597&gt;='_motor'!$B$670,'_motor'!$H$597&lt;0.5*'_motor'!$B$670),"Determinante / entorno",IF(AND('_motor'!$G$597&gt;='_motor'!$B$670,'_motor'!$H$597&lt;'_motor'!$B$670),"Palanca secundaria",IF(AND('_motor'!$G$597&gt;='_motor'!$B$670,'_motor'!$H$597&gt;='_motor'!$B$670),"Clave / de enlace",IF(AND('_motor'!$H$597&gt;='_motor'!$B$670,'_motor'!$G$597&gt;=0.5*'_motor'!$B$670),"Objetivo",IF('_motor'!$H$597&gt;='_motor'!$B$670,"Resultado","Autónoma")))))))</f>
        <v/>
      </c>
    </row>
    <row r="18" spans="1:10" x14ac:dyDescent="0.2">
      <c r="A18" s="21">
        <f>IF('_motor'!$B$598=0,"",'02 · Variables'!$B$19)</f>
        <v/>
      </c>
      <c r="B18" s="19">
        <f>IF('_motor'!$B$598=0,"",'02 · Variables'!$C$19)</f>
        <v/>
      </c>
      <c r="C18" s="38">
        <f>IF('_motor'!$B$598=0,"",'_motor'!$G$598)</f>
        <v/>
      </c>
      <c r="D18" s="38">
        <f>IF('_motor'!$B$598=0,"",'_motor'!$H$598)</f>
        <v/>
      </c>
      <c r="E18" s="33">
        <f>IF(OR('_motor'!$B$598=0,'_motor'!$B$674=0),"",'_motor'!$G$598/'_motor'!$B$674)</f>
        <v/>
      </c>
      <c r="F18" s="33">
        <f>IF(OR('_motor'!$B$598=0,'_motor'!$B$674=0),"",'_motor'!$H$598/'_motor'!$B$674)</f>
        <v/>
      </c>
      <c r="G18" s="22">
        <f>IF('_motor'!$B$598=0,"",SUMPRODUCT('_motor'!$B$586:$B$665*('_motor'!$G$586:$G$665&gt;'_motor'!$G$598))+(SUMPRODUCT('_motor'!$B$586:$B$665*('_motor'!$G$586:$G$665='_motor'!$G$598))+1)/2)</f>
        <v/>
      </c>
      <c r="H18" s="22">
        <f>IF('_motor'!$B$598=0,"",SUMPRODUCT('_motor'!$B$586:$B$665*('_motor'!$H$586:$H$665&gt;'_motor'!$H$598))+(SUMPRODUCT('_motor'!$B$586:$B$665*('_motor'!$H$586:$H$665='_motor'!$H$598))+1)/2)</f>
        <v/>
      </c>
      <c r="I18" s="19">
        <f>IF('_motor'!$B$598=0,"",IF(AND(ABS('_motor'!$G$598-'_motor'!$B$670)&lt;='_motor'!$B$678+0.000000001,ABS('_motor'!$H$598-'_motor'!$B$670)&lt;='_motor'!$B$678+0.000000001),"5 · Pelotón (no concluyente)",IF(AND('_motor'!$G$598&gt;='_motor'!$B$670,'_motor'!$H$598&lt;'_motor'!$B$670),"1 · Entrada / determinante",IF(AND('_motor'!$G$598&gt;='_motor'!$B$670,'_motor'!$H$598&gt;='_motor'!$B$670),"2 · Intermedia / de enlace",IF(AND('_motor'!$G$598&lt;'_motor'!$B$670,'_motor'!$H$598&gt;='_motor'!$B$670),"3 · Resultado","4 · Excluida / autónoma")))))</f>
        <v/>
      </c>
      <c r="J18" s="19">
        <f>IF('_motor'!$B$598=0,"",IF(AND(ABS('_motor'!$G$598-'_motor'!$B$670)&lt;='_motor'!$B$678+0.000000001,ABS('_motor'!$H$598-'_motor'!$B$670)&lt;='_motor'!$B$678+0.000000001),"Reguladora",IF(AND('_motor'!$G$598&gt;='_motor'!$B$670,'_motor'!$H$598&lt;0.5*'_motor'!$B$670),"Determinante / entorno",IF(AND('_motor'!$G$598&gt;='_motor'!$B$670,'_motor'!$H$598&lt;'_motor'!$B$670),"Palanca secundaria",IF(AND('_motor'!$G$598&gt;='_motor'!$B$670,'_motor'!$H$598&gt;='_motor'!$B$670),"Clave / de enlace",IF(AND('_motor'!$H$598&gt;='_motor'!$B$670,'_motor'!$G$598&gt;=0.5*'_motor'!$B$670),"Objetivo",IF('_motor'!$H$598&gt;='_motor'!$B$670,"Resultado","Autónoma")))))))</f>
        <v/>
      </c>
    </row>
    <row r="19" spans="1:10" x14ac:dyDescent="0.2">
      <c r="A19" s="21">
        <f>IF('_motor'!$B$599=0,"",'02 · Variables'!$B$20)</f>
        <v/>
      </c>
      <c r="B19" s="19">
        <f>IF('_motor'!$B$599=0,"",'02 · Variables'!$C$20)</f>
        <v/>
      </c>
      <c r="C19" s="38">
        <f>IF('_motor'!$B$599=0,"",'_motor'!$G$599)</f>
        <v/>
      </c>
      <c r="D19" s="38">
        <f>IF('_motor'!$B$599=0,"",'_motor'!$H$599)</f>
        <v/>
      </c>
      <c r="E19" s="33">
        <f>IF(OR('_motor'!$B$599=0,'_motor'!$B$674=0),"",'_motor'!$G$599/'_motor'!$B$674)</f>
        <v/>
      </c>
      <c r="F19" s="33">
        <f>IF(OR('_motor'!$B$599=0,'_motor'!$B$674=0),"",'_motor'!$H$599/'_motor'!$B$674)</f>
        <v/>
      </c>
      <c r="G19" s="22">
        <f>IF('_motor'!$B$599=0,"",SUMPRODUCT('_motor'!$B$586:$B$665*('_motor'!$G$586:$G$665&gt;'_motor'!$G$599))+(SUMPRODUCT('_motor'!$B$586:$B$665*('_motor'!$G$586:$G$665='_motor'!$G$599))+1)/2)</f>
        <v/>
      </c>
      <c r="H19" s="22">
        <f>IF('_motor'!$B$599=0,"",SUMPRODUCT('_motor'!$B$586:$B$665*('_motor'!$H$586:$H$665&gt;'_motor'!$H$599))+(SUMPRODUCT('_motor'!$B$586:$B$665*('_motor'!$H$586:$H$665='_motor'!$H$599))+1)/2)</f>
        <v/>
      </c>
      <c r="I19" s="19">
        <f>IF('_motor'!$B$599=0,"",IF(AND(ABS('_motor'!$G$599-'_motor'!$B$670)&lt;='_motor'!$B$678+0.000000001,ABS('_motor'!$H$599-'_motor'!$B$670)&lt;='_motor'!$B$678+0.000000001),"5 · Pelotón (no concluyente)",IF(AND('_motor'!$G$599&gt;='_motor'!$B$670,'_motor'!$H$599&lt;'_motor'!$B$670),"1 · Entrada / determinante",IF(AND('_motor'!$G$599&gt;='_motor'!$B$670,'_motor'!$H$599&gt;='_motor'!$B$670),"2 · Intermedia / de enlace",IF(AND('_motor'!$G$599&lt;'_motor'!$B$670,'_motor'!$H$599&gt;='_motor'!$B$670),"3 · Resultado","4 · Excluida / autónoma")))))</f>
        <v/>
      </c>
      <c r="J19" s="19">
        <f>IF('_motor'!$B$599=0,"",IF(AND(ABS('_motor'!$G$599-'_motor'!$B$670)&lt;='_motor'!$B$678+0.000000001,ABS('_motor'!$H$599-'_motor'!$B$670)&lt;='_motor'!$B$678+0.000000001),"Reguladora",IF(AND('_motor'!$G$599&gt;='_motor'!$B$670,'_motor'!$H$599&lt;0.5*'_motor'!$B$670),"Determinante / entorno",IF(AND('_motor'!$G$599&gt;='_motor'!$B$670,'_motor'!$H$599&lt;'_motor'!$B$670),"Palanca secundaria",IF(AND('_motor'!$G$599&gt;='_motor'!$B$670,'_motor'!$H$599&gt;='_motor'!$B$670),"Clave / de enlace",IF(AND('_motor'!$H$599&gt;='_motor'!$B$670,'_motor'!$G$599&gt;=0.5*'_motor'!$B$670),"Objetivo",IF('_motor'!$H$599&gt;='_motor'!$B$670,"Resultado","Autónoma")))))))</f>
        <v/>
      </c>
    </row>
    <row r="20" spans="1:10" x14ac:dyDescent="0.2">
      <c r="A20" s="21">
        <f>IF('_motor'!$B$600=0,"",'02 · Variables'!$B$21)</f>
        <v/>
      </c>
      <c r="B20" s="19">
        <f>IF('_motor'!$B$600=0,"",'02 · Variables'!$C$21)</f>
        <v/>
      </c>
      <c r="C20" s="38">
        <f>IF('_motor'!$B$600=0,"",'_motor'!$G$600)</f>
        <v/>
      </c>
      <c r="D20" s="38">
        <f>IF('_motor'!$B$600=0,"",'_motor'!$H$600)</f>
        <v/>
      </c>
      <c r="E20" s="33">
        <f>IF(OR('_motor'!$B$600=0,'_motor'!$B$674=0),"",'_motor'!$G$600/'_motor'!$B$674)</f>
        <v/>
      </c>
      <c r="F20" s="33">
        <f>IF(OR('_motor'!$B$600=0,'_motor'!$B$674=0),"",'_motor'!$H$600/'_motor'!$B$674)</f>
        <v/>
      </c>
      <c r="G20" s="22">
        <f>IF('_motor'!$B$600=0,"",SUMPRODUCT('_motor'!$B$586:$B$665*('_motor'!$G$586:$G$665&gt;'_motor'!$G$600))+(SUMPRODUCT('_motor'!$B$586:$B$665*('_motor'!$G$586:$G$665='_motor'!$G$600))+1)/2)</f>
        <v/>
      </c>
      <c r="H20" s="22">
        <f>IF('_motor'!$B$600=0,"",SUMPRODUCT('_motor'!$B$586:$B$665*('_motor'!$H$586:$H$665&gt;'_motor'!$H$600))+(SUMPRODUCT('_motor'!$B$586:$B$665*('_motor'!$H$586:$H$665='_motor'!$H$600))+1)/2)</f>
        <v/>
      </c>
      <c r="I20" s="19">
        <f>IF('_motor'!$B$600=0,"",IF(AND(ABS('_motor'!$G$600-'_motor'!$B$670)&lt;='_motor'!$B$678+0.000000001,ABS('_motor'!$H$600-'_motor'!$B$670)&lt;='_motor'!$B$678+0.000000001),"5 · Pelotón (no concluyente)",IF(AND('_motor'!$G$600&gt;='_motor'!$B$670,'_motor'!$H$600&lt;'_motor'!$B$670),"1 · Entrada / determinante",IF(AND('_motor'!$G$600&gt;='_motor'!$B$670,'_motor'!$H$600&gt;='_motor'!$B$670),"2 · Intermedia / de enlace",IF(AND('_motor'!$G$600&lt;'_motor'!$B$670,'_motor'!$H$600&gt;='_motor'!$B$670),"3 · Resultado","4 · Excluida / autónoma")))))</f>
        <v/>
      </c>
      <c r="J20" s="19">
        <f>IF('_motor'!$B$600=0,"",IF(AND(ABS('_motor'!$G$600-'_motor'!$B$670)&lt;='_motor'!$B$678+0.000000001,ABS('_motor'!$H$600-'_motor'!$B$670)&lt;='_motor'!$B$678+0.000000001),"Reguladora",IF(AND('_motor'!$G$600&gt;='_motor'!$B$670,'_motor'!$H$600&lt;0.5*'_motor'!$B$670),"Determinante / entorno",IF(AND('_motor'!$G$600&gt;='_motor'!$B$670,'_motor'!$H$600&lt;'_motor'!$B$670),"Palanca secundaria",IF(AND('_motor'!$G$600&gt;='_motor'!$B$670,'_motor'!$H$600&gt;='_motor'!$B$670),"Clave / de enlace",IF(AND('_motor'!$H$600&gt;='_motor'!$B$670,'_motor'!$G$600&gt;=0.5*'_motor'!$B$670),"Objetivo",IF('_motor'!$H$600&gt;='_motor'!$B$670,"Resultado","Autónoma")))))))</f>
        <v/>
      </c>
    </row>
    <row r="21" spans="1:10" x14ac:dyDescent="0.2">
      <c r="A21" s="21">
        <f>IF('_motor'!$B$601=0,"",'02 · Variables'!$B$22)</f>
        <v/>
      </c>
      <c r="B21" s="19">
        <f>IF('_motor'!$B$601=0,"",'02 · Variables'!$C$22)</f>
        <v/>
      </c>
      <c r="C21" s="38">
        <f>IF('_motor'!$B$601=0,"",'_motor'!$G$601)</f>
        <v/>
      </c>
      <c r="D21" s="38">
        <f>IF('_motor'!$B$601=0,"",'_motor'!$H$601)</f>
        <v/>
      </c>
      <c r="E21" s="33">
        <f>IF(OR('_motor'!$B$601=0,'_motor'!$B$674=0),"",'_motor'!$G$601/'_motor'!$B$674)</f>
        <v/>
      </c>
      <c r="F21" s="33">
        <f>IF(OR('_motor'!$B$601=0,'_motor'!$B$674=0),"",'_motor'!$H$601/'_motor'!$B$674)</f>
        <v/>
      </c>
      <c r="G21" s="22">
        <f>IF('_motor'!$B$601=0,"",SUMPRODUCT('_motor'!$B$586:$B$665*('_motor'!$G$586:$G$665&gt;'_motor'!$G$601))+(SUMPRODUCT('_motor'!$B$586:$B$665*('_motor'!$G$586:$G$665='_motor'!$G$601))+1)/2)</f>
        <v/>
      </c>
      <c r="H21" s="22">
        <f>IF('_motor'!$B$601=0,"",SUMPRODUCT('_motor'!$B$586:$B$665*('_motor'!$H$586:$H$665&gt;'_motor'!$H$601))+(SUMPRODUCT('_motor'!$B$586:$B$665*('_motor'!$H$586:$H$665='_motor'!$H$601))+1)/2)</f>
        <v/>
      </c>
      <c r="I21" s="19">
        <f>IF('_motor'!$B$601=0,"",IF(AND(ABS('_motor'!$G$601-'_motor'!$B$670)&lt;='_motor'!$B$678+0.000000001,ABS('_motor'!$H$601-'_motor'!$B$670)&lt;='_motor'!$B$678+0.000000001),"5 · Pelotón (no concluyente)",IF(AND('_motor'!$G$601&gt;='_motor'!$B$670,'_motor'!$H$601&lt;'_motor'!$B$670),"1 · Entrada / determinante",IF(AND('_motor'!$G$601&gt;='_motor'!$B$670,'_motor'!$H$601&gt;='_motor'!$B$670),"2 · Intermedia / de enlace",IF(AND('_motor'!$G$601&lt;'_motor'!$B$670,'_motor'!$H$601&gt;='_motor'!$B$670),"3 · Resultado","4 · Excluida / autónoma")))))</f>
        <v/>
      </c>
      <c r="J21" s="19">
        <f>IF('_motor'!$B$601=0,"",IF(AND(ABS('_motor'!$G$601-'_motor'!$B$670)&lt;='_motor'!$B$678+0.000000001,ABS('_motor'!$H$601-'_motor'!$B$670)&lt;='_motor'!$B$678+0.000000001),"Reguladora",IF(AND('_motor'!$G$601&gt;='_motor'!$B$670,'_motor'!$H$601&lt;0.5*'_motor'!$B$670),"Determinante / entorno",IF(AND('_motor'!$G$601&gt;='_motor'!$B$670,'_motor'!$H$601&lt;'_motor'!$B$670),"Palanca secundaria",IF(AND('_motor'!$G$601&gt;='_motor'!$B$670,'_motor'!$H$601&gt;='_motor'!$B$670),"Clave / de enlace",IF(AND('_motor'!$H$601&gt;='_motor'!$B$670,'_motor'!$G$601&gt;=0.5*'_motor'!$B$670),"Objetivo",IF('_motor'!$H$601&gt;='_motor'!$B$670,"Resultado","Autónoma")))))))</f>
        <v/>
      </c>
    </row>
    <row r="22" spans="1:10" x14ac:dyDescent="0.2">
      <c r="A22" s="21">
        <f>IF('_motor'!$B$602=0,"",'02 · Variables'!$B$23)</f>
        <v/>
      </c>
      <c r="B22" s="19">
        <f>IF('_motor'!$B$602=0,"",'02 · Variables'!$C$23)</f>
        <v/>
      </c>
      <c r="C22" s="38">
        <f>IF('_motor'!$B$602=0,"",'_motor'!$G$602)</f>
        <v/>
      </c>
      <c r="D22" s="38">
        <f>IF('_motor'!$B$602=0,"",'_motor'!$H$602)</f>
        <v/>
      </c>
      <c r="E22" s="33">
        <f>IF(OR('_motor'!$B$602=0,'_motor'!$B$674=0),"",'_motor'!$G$602/'_motor'!$B$674)</f>
        <v/>
      </c>
      <c r="F22" s="33">
        <f>IF(OR('_motor'!$B$602=0,'_motor'!$B$674=0),"",'_motor'!$H$602/'_motor'!$B$674)</f>
        <v/>
      </c>
      <c r="G22" s="22">
        <f>IF('_motor'!$B$602=0,"",SUMPRODUCT('_motor'!$B$586:$B$665*('_motor'!$G$586:$G$665&gt;'_motor'!$G$602))+(SUMPRODUCT('_motor'!$B$586:$B$665*('_motor'!$G$586:$G$665='_motor'!$G$602))+1)/2)</f>
        <v/>
      </c>
      <c r="H22" s="22">
        <f>IF('_motor'!$B$602=0,"",SUMPRODUCT('_motor'!$B$586:$B$665*('_motor'!$H$586:$H$665&gt;'_motor'!$H$602))+(SUMPRODUCT('_motor'!$B$586:$B$665*('_motor'!$H$586:$H$665='_motor'!$H$602))+1)/2)</f>
        <v/>
      </c>
      <c r="I22" s="19">
        <f>IF('_motor'!$B$602=0,"",IF(AND(ABS('_motor'!$G$602-'_motor'!$B$670)&lt;='_motor'!$B$678+0.000000001,ABS('_motor'!$H$602-'_motor'!$B$670)&lt;='_motor'!$B$678+0.000000001),"5 · Pelotón (no concluyente)",IF(AND('_motor'!$G$602&gt;='_motor'!$B$670,'_motor'!$H$602&lt;'_motor'!$B$670),"1 · Entrada / determinante",IF(AND('_motor'!$G$602&gt;='_motor'!$B$670,'_motor'!$H$602&gt;='_motor'!$B$670),"2 · Intermedia / de enlace",IF(AND('_motor'!$G$602&lt;'_motor'!$B$670,'_motor'!$H$602&gt;='_motor'!$B$670),"3 · Resultado","4 · Excluida / autónoma")))))</f>
        <v/>
      </c>
      <c r="J22" s="19">
        <f>IF('_motor'!$B$602=0,"",IF(AND(ABS('_motor'!$G$602-'_motor'!$B$670)&lt;='_motor'!$B$678+0.000000001,ABS('_motor'!$H$602-'_motor'!$B$670)&lt;='_motor'!$B$678+0.000000001),"Reguladora",IF(AND('_motor'!$G$602&gt;='_motor'!$B$670,'_motor'!$H$602&lt;0.5*'_motor'!$B$670),"Determinante / entorno",IF(AND('_motor'!$G$602&gt;='_motor'!$B$670,'_motor'!$H$602&lt;'_motor'!$B$670),"Palanca secundaria",IF(AND('_motor'!$G$602&gt;='_motor'!$B$670,'_motor'!$H$602&gt;='_motor'!$B$670),"Clave / de enlace",IF(AND('_motor'!$H$602&gt;='_motor'!$B$670,'_motor'!$G$602&gt;=0.5*'_motor'!$B$670),"Objetivo",IF('_motor'!$H$602&gt;='_motor'!$B$670,"Resultado","Autónoma")))))))</f>
        <v/>
      </c>
    </row>
    <row r="23" spans="1:10" x14ac:dyDescent="0.2">
      <c r="A23" s="21">
        <f>IF('_motor'!$B$603=0,"",'02 · Variables'!$B$24)</f>
        <v/>
      </c>
      <c r="B23" s="19">
        <f>IF('_motor'!$B$603=0,"",'02 · Variables'!$C$24)</f>
        <v/>
      </c>
      <c r="C23" s="38">
        <f>IF('_motor'!$B$603=0,"",'_motor'!$G$603)</f>
        <v/>
      </c>
      <c r="D23" s="38">
        <f>IF('_motor'!$B$603=0,"",'_motor'!$H$603)</f>
        <v/>
      </c>
      <c r="E23" s="33">
        <f>IF(OR('_motor'!$B$603=0,'_motor'!$B$674=0),"",'_motor'!$G$603/'_motor'!$B$674)</f>
        <v/>
      </c>
      <c r="F23" s="33">
        <f>IF(OR('_motor'!$B$603=0,'_motor'!$B$674=0),"",'_motor'!$H$603/'_motor'!$B$674)</f>
        <v/>
      </c>
      <c r="G23" s="22">
        <f>IF('_motor'!$B$603=0,"",SUMPRODUCT('_motor'!$B$586:$B$665*('_motor'!$G$586:$G$665&gt;'_motor'!$G$603))+(SUMPRODUCT('_motor'!$B$586:$B$665*('_motor'!$G$586:$G$665='_motor'!$G$603))+1)/2)</f>
        <v/>
      </c>
      <c r="H23" s="22">
        <f>IF('_motor'!$B$603=0,"",SUMPRODUCT('_motor'!$B$586:$B$665*('_motor'!$H$586:$H$665&gt;'_motor'!$H$603))+(SUMPRODUCT('_motor'!$B$586:$B$665*('_motor'!$H$586:$H$665='_motor'!$H$603))+1)/2)</f>
        <v/>
      </c>
      <c r="I23" s="19">
        <f>IF('_motor'!$B$603=0,"",IF(AND(ABS('_motor'!$G$603-'_motor'!$B$670)&lt;='_motor'!$B$678+0.000000001,ABS('_motor'!$H$603-'_motor'!$B$670)&lt;='_motor'!$B$678+0.000000001),"5 · Pelotón (no concluyente)",IF(AND('_motor'!$G$603&gt;='_motor'!$B$670,'_motor'!$H$603&lt;'_motor'!$B$670),"1 · Entrada / determinante",IF(AND('_motor'!$G$603&gt;='_motor'!$B$670,'_motor'!$H$603&gt;='_motor'!$B$670),"2 · Intermedia / de enlace",IF(AND('_motor'!$G$603&lt;'_motor'!$B$670,'_motor'!$H$603&gt;='_motor'!$B$670),"3 · Resultado","4 · Excluida / autónoma")))))</f>
        <v/>
      </c>
      <c r="J23" s="19">
        <f>IF('_motor'!$B$603=0,"",IF(AND(ABS('_motor'!$G$603-'_motor'!$B$670)&lt;='_motor'!$B$678+0.000000001,ABS('_motor'!$H$603-'_motor'!$B$670)&lt;='_motor'!$B$678+0.000000001),"Reguladora",IF(AND('_motor'!$G$603&gt;='_motor'!$B$670,'_motor'!$H$603&lt;0.5*'_motor'!$B$670),"Determinante / entorno",IF(AND('_motor'!$G$603&gt;='_motor'!$B$670,'_motor'!$H$603&lt;'_motor'!$B$670),"Palanca secundaria",IF(AND('_motor'!$G$603&gt;='_motor'!$B$670,'_motor'!$H$603&gt;='_motor'!$B$670),"Clave / de enlace",IF(AND('_motor'!$H$603&gt;='_motor'!$B$670,'_motor'!$G$603&gt;=0.5*'_motor'!$B$670),"Objetivo",IF('_motor'!$H$603&gt;='_motor'!$B$670,"Resultado","Autónoma")))))))</f>
        <v/>
      </c>
    </row>
    <row r="24" spans="1:10" x14ac:dyDescent="0.2">
      <c r="A24" s="21">
        <f>IF('_motor'!$B$604=0,"",'02 · Variables'!$B$25)</f>
        <v/>
      </c>
      <c r="B24" s="19">
        <f>IF('_motor'!$B$604=0,"",'02 · Variables'!$C$25)</f>
        <v/>
      </c>
      <c r="C24" s="38">
        <f>IF('_motor'!$B$604=0,"",'_motor'!$G$604)</f>
        <v/>
      </c>
      <c r="D24" s="38">
        <f>IF('_motor'!$B$604=0,"",'_motor'!$H$604)</f>
        <v/>
      </c>
      <c r="E24" s="33">
        <f>IF(OR('_motor'!$B$604=0,'_motor'!$B$674=0),"",'_motor'!$G$604/'_motor'!$B$674)</f>
        <v/>
      </c>
      <c r="F24" s="33">
        <f>IF(OR('_motor'!$B$604=0,'_motor'!$B$674=0),"",'_motor'!$H$604/'_motor'!$B$674)</f>
        <v/>
      </c>
      <c r="G24" s="22">
        <f>IF('_motor'!$B$604=0,"",SUMPRODUCT('_motor'!$B$586:$B$665*('_motor'!$G$586:$G$665&gt;'_motor'!$G$604))+(SUMPRODUCT('_motor'!$B$586:$B$665*('_motor'!$G$586:$G$665='_motor'!$G$604))+1)/2)</f>
        <v/>
      </c>
      <c r="H24" s="22">
        <f>IF('_motor'!$B$604=0,"",SUMPRODUCT('_motor'!$B$586:$B$665*('_motor'!$H$586:$H$665&gt;'_motor'!$H$604))+(SUMPRODUCT('_motor'!$B$586:$B$665*('_motor'!$H$586:$H$665='_motor'!$H$604))+1)/2)</f>
        <v/>
      </c>
      <c r="I24" s="19">
        <f>IF('_motor'!$B$604=0,"",IF(AND(ABS('_motor'!$G$604-'_motor'!$B$670)&lt;='_motor'!$B$678+0.000000001,ABS('_motor'!$H$604-'_motor'!$B$670)&lt;='_motor'!$B$678+0.000000001),"5 · Pelotón (no concluyente)",IF(AND('_motor'!$G$604&gt;='_motor'!$B$670,'_motor'!$H$604&lt;'_motor'!$B$670),"1 · Entrada / determinante",IF(AND('_motor'!$G$604&gt;='_motor'!$B$670,'_motor'!$H$604&gt;='_motor'!$B$670),"2 · Intermedia / de enlace",IF(AND('_motor'!$G$604&lt;'_motor'!$B$670,'_motor'!$H$604&gt;='_motor'!$B$670),"3 · Resultado","4 · Excluida / autónoma")))))</f>
        <v/>
      </c>
      <c r="J24" s="19">
        <f>IF('_motor'!$B$604=0,"",IF(AND(ABS('_motor'!$G$604-'_motor'!$B$670)&lt;='_motor'!$B$678+0.000000001,ABS('_motor'!$H$604-'_motor'!$B$670)&lt;='_motor'!$B$678+0.000000001),"Reguladora",IF(AND('_motor'!$G$604&gt;='_motor'!$B$670,'_motor'!$H$604&lt;0.5*'_motor'!$B$670),"Determinante / entorno",IF(AND('_motor'!$G$604&gt;='_motor'!$B$670,'_motor'!$H$604&lt;'_motor'!$B$670),"Palanca secundaria",IF(AND('_motor'!$G$604&gt;='_motor'!$B$670,'_motor'!$H$604&gt;='_motor'!$B$670),"Clave / de enlace",IF(AND('_motor'!$H$604&gt;='_motor'!$B$670,'_motor'!$G$604&gt;=0.5*'_motor'!$B$670),"Objetivo",IF('_motor'!$H$604&gt;='_motor'!$B$670,"Resultado","Autónoma")))))))</f>
        <v/>
      </c>
    </row>
    <row r="25" spans="1:10" x14ac:dyDescent="0.2">
      <c r="A25" s="21">
        <f>IF('_motor'!$B$605=0,"",'02 · Variables'!$B$26)</f>
        <v/>
      </c>
      <c r="B25" s="19">
        <f>IF('_motor'!$B$605=0,"",'02 · Variables'!$C$26)</f>
        <v/>
      </c>
      <c r="C25" s="38">
        <f>IF('_motor'!$B$605=0,"",'_motor'!$G$605)</f>
        <v/>
      </c>
      <c r="D25" s="38">
        <f>IF('_motor'!$B$605=0,"",'_motor'!$H$605)</f>
        <v/>
      </c>
      <c r="E25" s="33">
        <f>IF(OR('_motor'!$B$605=0,'_motor'!$B$674=0),"",'_motor'!$G$605/'_motor'!$B$674)</f>
        <v/>
      </c>
      <c r="F25" s="33">
        <f>IF(OR('_motor'!$B$605=0,'_motor'!$B$674=0),"",'_motor'!$H$605/'_motor'!$B$674)</f>
        <v/>
      </c>
      <c r="G25" s="22">
        <f>IF('_motor'!$B$605=0,"",SUMPRODUCT('_motor'!$B$586:$B$665*('_motor'!$G$586:$G$665&gt;'_motor'!$G$605))+(SUMPRODUCT('_motor'!$B$586:$B$665*('_motor'!$G$586:$G$665='_motor'!$G$605))+1)/2)</f>
        <v/>
      </c>
      <c r="H25" s="22">
        <f>IF('_motor'!$B$605=0,"",SUMPRODUCT('_motor'!$B$586:$B$665*('_motor'!$H$586:$H$665&gt;'_motor'!$H$605))+(SUMPRODUCT('_motor'!$B$586:$B$665*('_motor'!$H$586:$H$665='_motor'!$H$605))+1)/2)</f>
        <v/>
      </c>
      <c r="I25" s="19">
        <f>IF('_motor'!$B$605=0,"",IF(AND(ABS('_motor'!$G$605-'_motor'!$B$670)&lt;='_motor'!$B$678+0.000000001,ABS('_motor'!$H$605-'_motor'!$B$670)&lt;='_motor'!$B$678+0.000000001),"5 · Pelotón (no concluyente)",IF(AND('_motor'!$G$605&gt;='_motor'!$B$670,'_motor'!$H$605&lt;'_motor'!$B$670),"1 · Entrada / determinante",IF(AND('_motor'!$G$605&gt;='_motor'!$B$670,'_motor'!$H$605&gt;='_motor'!$B$670),"2 · Intermedia / de enlace",IF(AND('_motor'!$G$605&lt;'_motor'!$B$670,'_motor'!$H$605&gt;='_motor'!$B$670),"3 · Resultado","4 · Excluida / autónoma")))))</f>
        <v/>
      </c>
      <c r="J25" s="19">
        <f>IF('_motor'!$B$605=0,"",IF(AND(ABS('_motor'!$G$605-'_motor'!$B$670)&lt;='_motor'!$B$678+0.000000001,ABS('_motor'!$H$605-'_motor'!$B$670)&lt;='_motor'!$B$678+0.000000001),"Reguladora",IF(AND('_motor'!$G$605&gt;='_motor'!$B$670,'_motor'!$H$605&lt;0.5*'_motor'!$B$670),"Determinante / entorno",IF(AND('_motor'!$G$605&gt;='_motor'!$B$670,'_motor'!$H$605&lt;'_motor'!$B$670),"Palanca secundaria",IF(AND('_motor'!$G$605&gt;='_motor'!$B$670,'_motor'!$H$605&gt;='_motor'!$B$670),"Clave / de enlace",IF(AND('_motor'!$H$605&gt;='_motor'!$B$670,'_motor'!$G$605&gt;=0.5*'_motor'!$B$670),"Objetivo",IF('_motor'!$H$605&gt;='_motor'!$B$670,"Resultado","Autónoma")))))))</f>
        <v/>
      </c>
    </row>
    <row r="26" spans="1:10" x14ac:dyDescent="0.2">
      <c r="A26" s="21">
        <f>IF('_motor'!$B$606=0,"",'02 · Variables'!$B$27)</f>
        <v/>
      </c>
      <c r="B26" s="19">
        <f>IF('_motor'!$B$606=0,"",'02 · Variables'!$C$27)</f>
        <v/>
      </c>
      <c r="C26" s="38">
        <f>IF('_motor'!$B$606=0,"",'_motor'!$G$606)</f>
        <v/>
      </c>
      <c r="D26" s="38">
        <f>IF('_motor'!$B$606=0,"",'_motor'!$H$606)</f>
        <v/>
      </c>
      <c r="E26" s="33">
        <f>IF(OR('_motor'!$B$606=0,'_motor'!$B$674=0),"",'_motor'!$G$606/'_motor'!$B$674)</f>
        <v/>
      </c>
      <c r="F26" s="33">
        <f>IF(OR('_motor'!$B$606=0,'_motor'!$B$674=0),"",'_motor'!$H$606/'_motor'!$B$674)</f>
        <v/>
      </c>
      <c r="G26" s="22">
        <f>IF('_motor'!$B$606=0,"",SUMPRODUCT('_motor'!$B$586:$B$665*('_motor'!$G$586:$G$665&gt;'_motor'!$G$606))+(SUMPRODUCT('_motor'!$B$586:$B$665*('_motor'!$G$586:$G$665='_motor'!$G$606))+1)/2)</f>
        <v/>
      </c>
      <c r="H26" s="22">
        <f>IF('_motor'!$B$606=0,"",SUMPRODUCT('_motor'!$B$586:$B$665*('_motor'!$H$586:$H$665&gt;'_motor'!$H$606))+(SUMPRODUCT('_motor'!$B$586:$B$665*('_motor'!$H$586:$H$665='_motor'!$H$606))+1)/2)</f>
        <v/>
      </c>
      <c r="I26" s="19">
        <f>IF('_motor'!$B$606=0,"",IF(AND(ABS('_motor'!$G$606-'_motor'!$B$670)&lt;='_motor'!$B$678+0.000000001,ABS('_motor'!$H$606-'_motor'!$B$670)&lt;='_motor'!$B$678+0.000000001),"5 · Pelotón (no concluyente)",IF(AND('_motor'!$G$606&gt;='_motor'!$B$670,'_motor'!$H$606&lt;'_motor'!$B$670),"1 · Entrada / determinante",IF(AND('_motor'!$G$606&gt;='_motor'!$B$670,'_motor'!$H$606&gt;='_motor'!$B$670),"2 · Intermedia / de enlace",IF(AND('_motor'!$G$606&lt;'_motor'!$B$670,'_motor'!$H$606&gt;='_motor'!$B$670),"3 · Resultado","4 · Excluida / autónoma")))))</f>
        <v/>
      </c>
      <c r="J26" s="19">
        <f>IF('_motor'!$B$606=0,"",IF(AND(ABS('_motor'!$G$606-'_motor'!$B$670)&lt;='_motor'!$B$678+0.000000001,ABS('_motor'!$H$606-'_motor'!$B$670)&lt;='_motor'!$B$678+0.000000001),"Reguladora",IF(AND('_motor'!$G$606&gt;='_motor'!$B$670,'_motor'!$H$606&lt;0.5*'_motor'!$B$670),"Determinante / entorno",IF(AND('_motor'!$G$606&gt;='_motor'!$B$670,'_motor'!$H$606&lt;'_motor'!$B$670),"Palanca secundaria",IF(AND('_motor'!$G$606&gt;='_motor'!$B$670,'_motor'!$H$606&gt;='_motor'!$B$670),"Clave / de enlace",IF(AND('_motor'!$H$606&gt;='_motor'!$B$670,'_motor'!$G$606&gt;=0.5*'_motor'!$B$670),"Objetivo",IF('_motor'!$H$606&gt;='_motor'!$B$670,"Resultado","Autónoma")))))))</f>
        <v/>
      </c>
    </row>
    <row r="27" spans="1:10" x14ac:dyDescent="0.2">
      <c r="A27" s="21">
        <f>IF('_motor'!$B$607=0,"",'02 · Variables'!$B$28)</f>
        <v/>
      </c>
      <c r="B27" s="19">
        <f>IF('_motor'!$B$607=0,"",'02 · Variables'!$C$28)</f>
        <v/>
      </c>
      <c r="C27" s="38">
        <f>IF('_motor'!$B$607=0,"",'_motor'!$G$607)</f>
        <v/>
      </c>
      <c r="D27" s="38">
        <f>IF('_motor'!$B$607=0,"",'_motor'!$H$607)</f>
        <v/>
      </c>
      <c r="E27" s="33">
        <f>IF(OR('_motor'!$B$607=0,'_motor'!$B$674=0),"",'_motor'!$G$607/'_motor'!$B$674)</f>
        <v/>
      </c>
      <c r="F27" s="33">
        <f>IF(OR('_motor'!$B$607=0,'_motor'!$B$674=0),"",'_motor'!$H$607/'_motor'!$B$674)</f>
        <v/>
      </c>
      <c r="G27" s="22">
        <f>IF('_motor'!$B$607=0,"",SUMPRODUCT('_motor'!$B$586:$B$665*('_motor'!$G$586:$G$665&gt;'_motor'!$G$607))+(SUMPRODUCT('_motor'!$B$586:$B$665*('_motor'!$G$586:$G$665='_motor'!$G$607))+1)/2)</f>
        <v/>
      </c>
      <c r="H27" s="22">
        <f>IF('_motor'!$B$607=0,"",SUMPRODUCT('_motor'!$B$586:$B$665*('_motor'!$H$586:$H$665&gt;'_motor'!$H$607))+(SUMPRODUCT('_motor'!$B$586:$B$665*('_motor'!$H$586:$H$665='_motor'!$H$607))+1)/2)</f>
        <v/>
      </c>
      <c r="I27" s="19">
        <f>IF('_motor'!$B$607=0,"",IF(AND(ABS('_motor'!$G$607-'_motor'!$B$670)&lt;='_motor'!$B$678+0.000000001,ABS('_motor'!$H$607-'_motor'!$B$670)&lt;='_motor'!$B$678+0.000000001),"5 · Pelotón (no concluyente)",IF(AND('_motor'!$G$607&gt;='_motor'!$B$670,'_motor'!$H$607&lt;'_motor'!$B$670),"1 · Entrada / determinante",IF(AND('_motor'!$G$607&gt;='_motor'!$B$670,'_motor'!$H$607&gt;='_motor'!$B$670),"2 · Intermedia / de enlace",IF(AND('_motor'!$G$607&lt;'_motor'!$B$670,'_motor'!$H$607&gt;='_motor'!$B$670),"3 · Resultado","4 · Excluida / autónoma")))))</f>
        <v/>
      </c>
      <c r="J27" s="19">
        <f>IF('_motor'!$B$607=0,"",IF(AND(ABS('_motor'!$G$607-'_motor'!$B$670)&lt;='_motor'!$B$678+0.000000001,ABS('_motor'!$H$607-'_motor'!$B$670)&lt;='_motor'!$B$678+0.000000001),"Reguladora",IF(AND('_motor'!$G$607&gt;='_motor'!$B$670,'_motor'!$H$607&lt;0.5*'_motor'!$B$670),"Determinante / entorno",IF(AND('_motor'!$G$607&gt;='_motor'!$B$670,'_motor'!$H$607&lt;'_motor'!$B$670),"Palanca secundaria",IF(AND('_motor'!$G$607&gt;='_motor'!$B$670,'_motor'!$H$607&gt;='_motor'!$B$670),"Clave / de enlace",IF(AND('_motor'!$H$607&gt;='_motor'!$B$670,'_motor'!$G$607&gt;=0.5*'_motor'!$B$670),"Objetivo",IF('_motor'!$H$607&gt;='_motor'!$B$670,"Resultado","Autónoma")))))))</f>
        <v/>
      </c>
    </row>
    <row r="28" spans="1:10" x14ac:dyDescent="0.2">
      <c r="A28" s="21">
        <f>IF('_motor'!$B$608=0,"",'02 · Variables'!$B$29)</f>
        <v/>
      </c>
      <c r="B28" s="19">
        <f>IF('_motor'!$B$608=0,"",'02 · Variables'!$C$29)</f>
        <v/>
      </c>
      <c r="C28" s="38">
        <f>IF('_motor'!$B$608=0,"",'_motor'!$G$608)</f>
        <v/>
      </c>
      <c r="D28" s="38">
        <f>IF('_motor'!$B$608=0,"",'_motor'!$H$608)</f>
        <v/>
      </c>
      <c r="E28" s="33">
        <f>IF(OR('_motor'!$B$608=0,'_motor'!$B$674=0),"",'_motor'!$G$608/'_motor'!$B$674)</f>
        <v/>
      </c>
      <c r="F28" s="33">
        <f>IF(OR('_motor'!$B$608=0,'_motor'!$B$674=0),"",'_motor'!$H$608/'_motor'!$B$674)</f>
        <v/>
      </c>
      <c r="G28" s="22">
        <f>IF('_motor'!$B$608=0,"",SUMPRODUCT('_motor'!$B$586:$B$665*('_motor'!$G$586:$G$665&gt;'_motor'!$G$608))+(SUMPRODUCT('_motor'!$B$586:$B$665*('_motor'!$G$586:$G$665='_motor'!$G$608))+1)/2)</f>
        <v/>
      </c>
      <c r="H28" s="22">
        <f>IF('_motor'!$B$608=0,"",SUMPRODUCT('_motor'!$B$586:$B$665*('_motor'!$H$586:$H$665&gt;'_motor'!$H$608))+(SUMPRODUCT('_motor'!$B$586:$B$665*('_motor'!$H$586:$H$665='_motor'!$H$608))+1)/2)</f>
        <v/>
      </c>
      <c r="I28" s="19">
        <f>IF('_motor'!$B$608=0,"",IF(AND(ABS('_motor'!$G$608-'_motor'!$B$670)&lt;='_motor'!$B$678+0.000000001,ABS('_motor'!$H$608-'_motor'!$B$670)&lt;='_motor'!$B$678+0.000000001),"5 · Pelotón (no concluyente)",IF(AND('_motor'!$G$608&gt;='_motor'!$B$670,'_motor'!$H$608&lt;'_motor'!$B$670),"1 · Entrada / determinante",IF(AND('_motor'!$G$608&gt;='_motor'!$B$670,'_motor'!$H$608&gt;='_motor'!$B$670),"2 · Intermedia / de enlace",IF(AND('_motor'!$G$608&lt;'_motor'!$B$670,'_motor'!$H$608&gt;='_motor'!$B$670),"3 · Resultado","4 · Excluida / autónoma")))))</f>
        <v/>
      </c>
      <c r="J28" s="19">
        <f>IF('_motor'!$B$608=0,"",IF(AND(ABS('_motor'!$G$608-'_motor'!$B$670)&lt;='_motor'!$B$678+0.000000001,ABS('_motor'!$H$608-'_motor'!$B$670)&lt;='_motor'!$B$678+0.000000001),"Reguladora",IF(AND('_motor'!$G$608&gt;='_motor'!$B$670,'_motor'!$H$608&lt;0.5*'_motor'!$B$670),"Determinante / entorno",IF(AND('_motor'!$G$608&gt;='_motor'!$B$670,'_motor'!$H$608&lt;'_motor'!$B$670),"Palanca secundaria",IF(AND('_motor'!$G$608&gt;='_motor'!$B$670,'_motor'!$H$608&gt;='_motor'!$B$670),"Clave / de enlace",IF(AND('_motor'!$H$608&gt;='_motor'!$B$670,'_motor'!$G$608&gt;=0.5*'_motor'!$B$670),"Objetivo",IF('_motor'!$H$608&gt;='_motor'!$B$670,"Resultado","Autónoma")))))))</f>
        <v/>
      </c>
    </row>
    <row r="29" spans="1:10" x14ac:dyDescent="0.2">
      <c r="A29" s="21">
        <f>IF('_motor'!$B$609=0,"",'02 · Variables'!$B$30)</f>
        <v/>
      </c>
      <c r="B29" s="19">
        <f>IF('_motor'!$B$609=0,"",'02 · Variables'!$C$30)</f>
        <v/>
      </c>
      <c r="C29" s="38">
        <f>IF('_motor'!$B$609=0,"",'_motor'!$G$609)</f>
        <v/>
      </c>
      <c r="D29" s="38">
        <f>IF('_motor'!$B$609=0,"",'_motor'!$H$609)</f>
        <v/>
      </c>
      <c r="E29" s="33">
        <f>IF(OR('_motor'!$B$609=0,'_motor'!$B$674=0),"",'_motor'!$G$609/'_motor'!$B$674)</f>
        <v/>
      </c>
      <c r="F29" s="33">
        <f>IF(OR('_motor'!$B$609=0,'_motor'!$B$674=0),"",'_motor'!$H$609/'_motor'!$B$674)</f>
        <v/>
      </c>
      <c r="G29" s="22">
        <f>IF('_motor'!$B$609=0,"",SUMPRODUCT('_motor'!$B$586:$B$665*('_motor'!$G$586:$G$665&gt;'_motor'!$G$609))+(SUMPRODUCT('_motor'!$B$586:$B$665*('_motor'!$G$586:$G$665='_motor'!$G$609))+1)/2)</f>
        <v/>
      </c>
      <c r="H29" s="22">
        <f>IF('_motor'!$B$609=0,"",SUMPRODUCT('_motor'!$B$586:$B$665*('_motor'!$H$586:$H$665&gt;'_motor'!$H$609))+(SUMPRODUCT('_motor'!$B$586:$B$665*('_motor'!$H$586:$H$665='_motor'!$H$609))+1)/2)</f>
        <v/>
      </c>
      <c r="I29" s="19">
        <f>IF('_motor'!$B$609=0,"",IF(AND(ABS('_motor'!$G$609-'_motor'!$B$670)&lt;='_motor'!$B$678+0.000000001,ABS('_motor'!$H$609-'_motor'!$B$670)&lt;='_motor'!$B$678+0.000000001),"5 · Pelotón (no concluyente)",IF(AND('_motor'!$G$609&gt;='_motor'!$B$670,'_motor'!$H$609&lt;'_motor'!$B$670),"1 · Entrada / determinante",IF(AND('_motor'!$G$609&gt;='_motor'!$B$670,'_motor'!$H$609&gt;='_motor'!$B$670),"2 · Intermedia / de enlace",IF(AND('_motor'!$G$609&lt;'_motor'!$B$670,'_motor'!$H$609&gt;='_motor'!$B$670),"3 · Resultado","4 · Excluida / autónoma")))))</f>
        <v/>
      </c>
      <c r="J29" s="19">
        <f>IF('_motor'!$B$609=0,"",IF(AND(ABS('_motor'!$G$609-'_motor'!$B$670)&lt;='_motor'!$B$678+0.000000001,ABS('_motor'!$H$609-'_motor'!$B$670)&lt;='_motor'!$B$678+0.000000001),"Reguladora",IF(AND('_motor'!$G$609&gt;='_motor'!$B$670,'_motor'!$H$609&lt;0.5*'_motor'!$B$670),"Determinante / entorno",IF(AND('_motor'!$G$609&gt;='_motor'!$B$670,'_motor'!$H$609&lt;'_motor'!$B$670),"Palanca secundaria",IF(AND('_motor'!$G$609&gt;='_motor'!$B$670,'_motor'!$H$609&gt;='_motor'!$B$670),"Clave / de enlace",IF(AND('_motor'!$H$609&gt;='_motor'!$B$670,'_motor'!$G$609&gt;=0.5*'_motor'!$B$670),"Objetivo",IF('_motor'!$H$609&gt;='_motor'!$B$670,"Resultado","Autónoma")))))))</f>
        <v/>
      </c>
    </row>
    <row r="30" spans="1:10" x14ac:dyDescent="0.2">
      <c r="A30" s="21">
        <f>IF('_motor'!$B$610=0,"",'02 · Variables'!$B$31)</f>
        <v/>
      </c>
      <c r="B30" s="19">
        <f>IF('_motor'!$B$610=0,"",'02 · Variables'!$C$31)</f>
        <v/>
      </c>
      <c r="C30" s="38">
        <f>IF('_motor'!$B$610=0,"",'_motor'!$G$610)</f>
        <v/>
      </c>
      <c r="D30" s="38">
        <f>IF('_motor'!$B$610=0,"",'_motor'!$H$610)</f>
        <v/>
      </c>
      <c r="E30" s="33">
        <f>IF(OR('_motor'!$B$610=0,'_motor'!$B$674=0),"",'_motor'!$G$610/'_motor'!$B$674)</f>
        <v/>
      </c>
      <c r="F30" s="33">
        <f>IF(OR('_motor'!$B$610=0,'_motor'!$B$674=0),"",'_motor'!$H$610/'_motor'!$B$674)</f>
        <v/>
      </c>
      <c r="G30" s="22">
        <f>IF('_motor'!$B$610=0,"",SUMPRODUCT('_motor'!$B$586:$B$665*('_motor'!$G$586:$G$665&gt;'_motor'!$G$610))+(SUMPRODUCT('_motor'!$B$586:$B$665*('_motor'!$G$586:$G$665='_motor'!$G$610))+1)/2)</f>
        <v/>
      </c>
      <c r="H30" s="22">
        <f>IF('_motor'!$B$610=0,"",SUMPRODUCT('_motor'!$B$586:$B$665*('_motor'!$H$586:$H$665&gt;'_motor'!$H$610))+(SUMPRODUCT('_motor'!$B$586:$B$665*('_motor'!$H$586:$H$665='_motor'!$H$610))+1)/2)</f>
        <v/>
      </c>
      <c r="I30" s="19">
        <f>IF('_motor'!$B$610=0,"",IF(AND(ABS('_motor'!$G$610-'_motor'!$B$670)&lt;='_motor'!$B$678+0.000000001,ABS('_motor'!$H$610-'_motor'!$B$670)&lt;='_motor'!$B$678+0.000000001),"5 · Pelotón (no concluyente)",IF(AND('_motor'!$G$610&gt;='_motor'!$B$670,'_motor'!$H$610&lt;'_motor'!$B$670),"1 · Entrada / determinante",IF(AND('_motor'!$G$610&gt;='_motor'!$B$670,'_motor'!$H$610&gt;='_motor'!$B$670),"2 · Intermedia / de enlace",IF(AND('_motor'!$G$610&lt;'_motor'!$B$670,'_motor'!$H$610&gt;='_motor'!$B$670),"3 · Resultado","4 · Excluida / autónoma")))))</f>
        <v/>
      </c>
      <c r="J30" s="19">
        <f>IF('_motor'!$B$610=0,"",IF(AND(ABS('_motor'!$G$610-'_motor'!$B$670)&lt;='_motor'!$B$678+0.000000001,ABS('_motor'!$H$610-'_motor'!$B$670)&lt;='_motor'!$B$678+0.000000001),"Reguladora",IF(AND('_motor'!$G$610&gt;='_motor'!$B$670,'_motor'!$H$610&lt;0.5*'_motor'!$B$670),"Determinante / entorno",IF(AND('_motor'!$G$610&gt;='_motor'!$B$670,'_motor'!$H$610&lt;'_motor'!$B$670),"Palanca secundaria",IF(AND('_motor'!$G$610&gt;='_motor'!$B$670,'_motor'!$H$610&gt;='_motor'!$B$670),"Clave / de enlace",IF(AND('_motor'!$H$610&gt;='_motor'!$B$670,'_motor'!$G$610&gt;=0.5*'_motor'!$B$670),"Objetivo",IF('_motor'!$H$610&gt;='_motor'!$B$670,"Resultado","Autónoma")))))))</f>
        <v/>
      </c>
    </row>
    <row r="31" spans="1:10" x14ac:dyDescent="0.2">
      <c r="A31" s="21">
        <f>IF('_motor'!$B$611=0,"",'02 · Variables'!$B$32)</f>
        <v/>
      </c>
      <c r="B31" s="19">
        <f>IF('_motor'!$B$611=0,"",'02 · Variables'!$C$32)</f>
        <v/>
      </c>
      <c r="C31" s="38">
        <f>IF('_motor'!$B$611=0,"",'_motor'!$G$611)</f>
        <v/>
      </c>
      <c r="D31" s="38">
        <f>IF('_motor'!$B$611=0,"",'_motor'!$H$611)</f>
        <v/>
      </c>
      <c r="E31" s="33">
        <f>IF(OR('_motor'!$B$611=0,'_motor'!$B$674=0),"",'_motor'!$G$611/'_motor'!$B$674)</f>
        <v/>
      </c>
      <c r="F31" s="33">
        <f>IF(OR('_motor'!$B$611=0,'_motor'!$B$674=0),"",'_motor'!$H$611/'_motor'!$B$674)</f>
        <v/>
      </c>
      <c r="G31" s="22">
        <f>IF('_motor'!$B$611=0,"",SUMPRODUCT('_motor'!$B$586:$B$665*('_motor'!$G$586:$G$665&gt;'_motor'!$G$611))+(SUMPRODUCT('_motor'!$B$586:$B$665*('_motor'!$G$586:$G$665='_motor'!$G$611))+1)/2)</f>
        <v/>
      </c>
      <c r="H31" s="22">
        <f>IF('_motor'!$B$611=0,"",SUMPRODUCT('_motor'!$B$586:$B$665*('_motor'!$H$586:$H$665&gt;'_motor'!$H$611))+(SUMPRODUCT('_motor'!$B$586:$B$665*('_motor'!$H$586:$H$665='_motor'!$H$611))+1)/2)</f>
        <v/>
      </c>
      <c r="I31" s="19">
        <f>IF('_motor'!$B$611=0,"",IF(AND(ABS('_motor'!$G$611-'_motor'!$B$670)&lt;='_motor'!$B$678+0.000000001,ABS('_motor'!$H$611-'_motor'!$B$670)&lt;='_motor'!$B$678+0.000000001),"5 · Pelotón (no concluyente)",IF(AND('_motor'!$G$611&gt;='_motor'!$B$670,'_motor'!$H$611&lt;'_motor'!$B$670),"1 · Entrada / determinante",IF(AND('_motor'!$G$611&gt;='_motor'!$B$670,'_motor'!$H$611&gt;='_motor'!$B$670),"2 · Intermedia / de enlace",IF(AND('_motor'!$G$611&lt;'_motor'!$B$670,'_motor'!$H$611&gt;='_motor'!$B$670),"3 · Resultado","4 · Excluida / autónoma")))))</f>
        <v/>
      </c>
      <c r="J31" s="19">
        <f>IF('_motor'!$B$611=0,"",IF(AND(ABS('_motor'!$G$611-'_motor'!$B$670)&lt;='_motor'!$B$678+0.000000001,ABS('_motor'!$H$611-'_motor'!$B$670)&lt;='_motor'!$B$678+0.000000001),"Reguladora",IF(AND('_motor'!$G$611&gt;='_motor'!$B$670,'_motor'!$H$611&lt;0.5*'_motor'!$B$670),"Determinante / entorno",IF(AND('_motor'!$G$611&gt;='_motor'!$B$670,'_motor'!$H$611&lt;'_motor'!$B$670),"Palanca secundaria",IF(AND('_motor'!$G$611&gt;='_motor'!$B$670,'_motor'!$H$611&gt;='_motor'!$B$670),"Clave / de enlace",IF(AND('_motor'!$H$611&gt;='_motor'!$B$670,'_motor'!$G$611&gt;=0.5*'_motor'!$B$670),"Objetivo",IF('_motor'!$H$611&gt;='_motor'!$B$670,"Resultado","Autónoma")))))))</f>
        <v/>
      </c>
    </row>
    <row r="32" spans="1:10" x14ac:dyDescent="0.2">
      <c r="A32" s="21">
        <f>IF('_motor'!$B$612=0,"",'02 · Variables'!$B$33)</f>
        <v/>
      </c>
      <c r="B32" s="19">
        <f>IF('_motor'!$B$612=0,"",'02 · Variables'!$C$33)</f>
        <v/>
      </c>
      <c r="C32" s="38">
        <f>IF('_motor'!$B$612=0,"",'_motor'!$G$612)</f>
        <v/>
      </c>
      <c r="D32" s="38">
        <f>IF('_motor'!$B$612=0,"",'_motor'!$H$612)</f>
        <v/>
      </c>
      <c r="E32" s="33">
        <f>IF(OR('_motor'!$B$612=0,'_motor'!$B$674=0),"",'_motor'!$G$612/'_motor'!$B$674)</f>
        <v/>
      </c>
      <c r="F32" s="33">
        <f>IF(OR('_motor'!$B$612=0,'_motor'!$B$674=0),"",'_motor'!$H$612/'_motor'!$B$674)</f>
        <v/>
      </c>
      <c r="G32" s="22">
        <f>IF('_motor'!$B$612=0,"",SUMPRODUCT('_motor'!$B$586:$B$665*('_motor'!$G$586:$G$665&gt;'_motor'!$G$612))+(SUMPRODUCT('_motor'!$B$586:$B$665*('_motor'!$G$586:$G$665='_motor'!$G$612))+1)/2)</f>
        <v/>
      </c>
      <c r="H32" s="22">
        <f>IF('_motor'!$B$612=0,"",SUMPRODUCT('_motor'!$B$586:$B$665*('_motor'!$H$586:$H$665&gt;'_motor'!$H$612))+(SUMPRODUCT('_motor'!$B$586:$B$665*('_motor'!$H$586:$H$665='_motor'!$H$612))+1)/2)</f>
        <v/>
      </c>
      <c r="I32" s="19">
        <f>IF('_motor'!$B$612=0,"",IF(AND(ABS('_motor'!$G$612-'_motor'!$B$670)&lt;='_motor'!$B$678+0.000000001,ABS('_motor'!$H$612-'_motor'!$B$670)&lt;='_motor'!$B$678+0.000000001),"5 · Pelotón (no concluyente)",IF(AND('_motor'!$G$612&gt;='_motor'!$B$670,'_motor'!$H$612&lt;'_motor'!$B$670),"1 · Entrada / determinante",IF(AND('_motor'!$G$612&gt;='_motor'!$B$670,'_motor'!$H$612&gt;='_motor'!$B$670),"2 · Intermedia / de enlace",IF(AND('_motor'!$G$612&lt;'_motor'!$B$670,'_motor'!$H$612&gt;='_motor'!$B$670),"3 · Resultado","4 · Excluida / autónoma")))))</f>
        <v/>
      </c>
      <c r="J32" s="19">
        <f>IF('_motor'!$B$612=0,"",IF(AND(ABS('_motor'!$G$612-'_motor'!$B$670)&lt;='_motor'!$B$678+0.000000001,ABS('_motor'!$H$612-'_motor'!$B$670)&lt;='_motor'!$B$678+0.000000001),"Reguladora",IF(AND('_motor'!$G$612&gt;='_motor'!$B$670,'_motor'!$H$612&lt;0.5*'_motor'!$B$670),"Determinante / entorno",IF(AND('_motor'!$G$612&gt;='_motor'!$B$670,'_motor'!$H$612&lt;'_motor'!$B$670),"Palanca secundaria",IF(AND('_motor'!$G$612&gt;='_motor'!$B$670,'_motor'!$H$612&gt;='_motor'!$B$670),"Clave / de enlace",IF(AND('_motor'!$H$612&gt;='_motor'!$B$670,'_motor'!$G$612&gt;=0.5*'_motor'!$B$670),"Objetivo",IF('_motor'!$H$612&gt;='_motor'!$B$670,"Resultado","Autónoma")))))))</f>
        <v/>
      </c>
    </row>
    <row r="33" spans="1:10" x14ac:dyDescent="0.2">
      <c r="A33" s="21">
        <f>IF('_motor'!$B$613=0,"",'02 · Variables'!$B$34)</f>
        <v/>
      </c>
      <c r="B33" s="19">
        <f>IF('_motor'!$B$613=0,"",'02 · Variables'!$C$34)</f>
        <v/>
      </c>
      <c r="C33" s="38">
        <f>IF('_motor'!$B$613=0,"",'_motor'!$G$613)</f>
        <v/>
      </c>
      <c r="D33" s="38">
        <f>IF('_motor'!$B$613=0,"",'_motor'!$H$613)</f>
        <v/>
      </c>
      <c r="E33" s="33">
        <f>IF(OR('_motor'!$B$613=0,'_motor'!$B$674=0),"",'_motor'!$G$613/'_motor'!$B$674)</f>
        <v/>
      </c>
      <c r="F33" s="33">
        <f>IF(OR('_motor'!$B$613=0,'_motor'!$B$674=0),"",'_motor'!$H$613/'_motor'!$B$674)</f>
        <v/>
      </c>
      <c r="G33" s="22">
        <f>IF('_motor'!$B$613=0,"",SUMPRODUCT('_motor'!$B$586:$B$665*('_motor'!$G$586:$G$665&gt;'_motor'!$G$613))+(SUMPRODUCT('_motor'!$B$586:$B$665*('_motor'!$G$586:$G$665='_motor'!$G$613))+1)/2)</f>
        <v/>
      </c>
      <c r="H33" s="22">
        <f>IF('_motor'!$B$613=0,"",SUMPRODUCT('_motor'!$B$586:$B$665*('_motor'!$H$586:$H$665&gt;'_motor'!$H$613))+(SUMPRODUCT('_motor'!$B$586:$B$665*('_motor'!$H$586:$H$665='_motor'!$H$613))+1)/2)</f>
        <v/>
      </c>
      <c r="I33" s="19">
        <f>IF('_motor'!$B$613=0,"",IF(AND(ABS('_motor'!$G$613-'_motor'!$B$670)&lt;='_motor'!$B$678+0.000000001,ABS('_motor'!$H$613-'_motor'!$B$670)&lt;='_motor'!$B$678+0.000000001),"5 · Pelotón (no concluyente)",IF(AND('_motor'!$G$613&gt;='_motor'!$B$670,'_motor'!$H$613&lt;'_motor'!$B$670),"1 · Entrada / determinante",IF(AND('_motor'!$G$613&gt;='_motor'!$B$670,'_motor'!$H$613&gt;='_motor'!$B$670),"2 · Intermedia / de enlace",IF(AND('_motor'!$G$613&lt;'_motor'!$B$670,'_motor'!$H$613&gt;='_motor'!$B$670),"3 · Resultado","4 · Excluida / autónoma")))))</f>
        <v/>
      </c>
      <c r="J33" s="19">
        <f>IF('_motor'!$B$613=0,"",IF(AND(ABS('_motor'!$G$613-'_motor'!$B$670)&lt;='_motor'!$B$678+0.000000001,ABS('_motor'!$H$613-'_motor'!$B$670)&lt;='_motor'!$B$678+0.000000001),"Reguladora",IF(AND('_motor'!$G$613&gt;='_motor'!$B$670,'_motor'!$H$613&lt;0.5*'_motor'!$B$670),"Determinante / entorno",IF(AND('_motor'!$G$613&gt;='_motor'!$B$670,'_motor'!$H$613&lt;'_motor'!$B$670),"Palanca secundaria",IF(AND('_motor'!$G$613&gt;='_motor'!$B$670,'_motor'!$H$613&gt;='_motor'!$B$670),"Clave / de enlace",IF(AND('_motor'!$H$613&gt;='_motor'!$B$670,'_motor'!$G$613&gt;=0.5*'_motor'!$B$670),"Objetivo",IF('_motor'!$H$613&gt;='_motor'!$B$670,"Resultado","Autónoma")))))))</f>
        <v/>
      </c>
    </row>
    <row r="34" spans="1:10" x14ac:dyDescent="0.2">
      <c r="A34" s="21">
        <f>IF('_motor'!$B$614=0,"",'02 · Variables'!$B$35)</f>
        <v/>
      </c>
      <c r="B34" s="19">
        <f>IF('_motor'!$B$614=0,"",'02 · Variables'!$C$35)</f>
        <v/>
      </c>
      <c r="C34" s="38">
        <f>IF('_motor'!$B$614=0,"",'_motor'!$G$614)</f>
        <v/>
      </c>
      <c r="D34" s="38">
        <f>IF('_motor'!$B$614=0,"",'_motor'!$H$614)</f>
        <v/>
      </c>
      <c r="E34" s="33">
        <f>IF(OR('_motor'!$B$614=0,'_motor'!$B$674=0),"",'_motor'!$G$614/'_motor'!$B$674)</f>
        <v/>
      </c>
      <c r="F34" s="33">
        <f>IF(OR('_motor'!$B$614=0,'_motor'!$B$674=0),"",'_motor'!$H$614/'_motor'!$B$674)</f>
        <v/>
      </c>
      <c r="G34" s="22">
        <f>IF('_motor'!$B$614=0,"",SUMPRODUCT('_motor'!$B$586:$B$665*('_motor'!$G$586:$G$665&gt;'_motor'!$G$614))+(SUMPRODUCT('_motor'!$B$586:$B$665*('_motor'!$G$586:$G$665='_motor'!$G$614))+1)/2)</f>
        <v/>
      </c>
      <c r="H34" s="22">
        <f>IF('_motor'!$B$614=0,"",SUMPRODUCT('_motor'!$B$586:$B$665*('_motor'!$H$586:$H$665&gt;'_motor'!$H$614))+(SUMPRODUCT('_motor'!$B$586:$B$665*('_motor'!$H$586:$H$665='_motor'!$H$614))+1)/2)</f>
        <v/>
      </c>
      <c r="I34" s="19">
        <f>IF('_motor'!$B$614=0,"",IF(AND(ABS('_motor'!$G$614-'_motor'!$B$670)&lt;='_motor'!$B$678+0.000000001,ABS('_motor'!$H$614-'_motor'!$B$670)&lt;='_motor'!$B$678+0.000000001),"5 · Pelotón (no concluyente)",IF(AND('_motor'!$G$614&gt;='_motor'!$B$670,'_motor'!$H$614&lt;'_motor'!$B$670),"1 · Entrada / determinante",IF(AND('_motor'!$G$614&gt;='_motor'!$B$670,'_motor'!$H$614&gt;='_motor'!$B$670),"2 · Intermedia / de enlace",IF(AND('_motor'!$G$614&lt;'_motor'!$B$670,'_motor'!$H$614&gt;='_motor'!$B$670),"3 · Resultado","4 · Excluida / autónoma")))))</f>
        <v/>
      </c>
      <c r="J34" s="19">
        <f>IF('_motor'!$B$614=0,"",IF(AND(ABS('_motor'!$G$614-'_motor'!$B$670)&lt;='_motor'!$B$678+0.000000001,ABS('_motor'!$H$614-'_motor'!$B$670)&lt;='_motor'!$B$678+0.000000001),"Reguladora",IF(AND('_motor'!$G$614&gt;='_motor'!$B$670,'_motor'!$H$614&lt;0.5*'_motor'!$B$670),"Determinante / entorno",IF(AND('_motor'!$G$614&gt;='_motor'!$B$670,'_motor'!$H$614&lt;'_motor'!$B$670),"Palanca secundaria",IF(AND('_motor'!$G$614&gt;='_motor'!$B$670,'_motor'!$H$614&gt;='_motor'!$B$670),"Clave / de enlace",IF(AND('_motor'!$H$614&gt;='_motor'!$B$670,'_motor'!$G$614&gt;=0.5*'_motor'!$B$670),"Objetivo",IF('_motor'!$H$614&gt;='_motor'!$B$670,"Resultado","Autónoma")))))))</f>
        <v/>
      </c>
    </row>
    <row r="35" spans="1:10" x14ac:dyDescent="0.2">
      <c r="A35" s="21">
        <f>IF('_motor'!$B$615=0,"",'02 · Variables'!$B$36)</f>
        <v/>
      </c>
      <c r="B35" s="19">
        <f>IF('_motor'!$B$615=0,"",'02 · Variables'!$C$36)</f>
        <v/>
      </c>
      <c r="C35" s="38">
        <f>IF('_motor'!$B$615=0,"",'_motor'!$G$615)</f>
        <v/>
      </c>
      <c r="D35" s="38">
        <f>IF('_motor'!$B$615=0,"",'_motor'!$H$615)</f>
        <v/>
      </c>
      <c r="E35" s="33">
        <f>IF(OR('_motor'!$B$615=0,'_motor'!$B$674=0),"",'_motor'!$G$615/'_motor'!$B$674)</f>
        <v/>
      </c>
      <c r="F35" s="33">
        <f>IF(OR('_motor'!$B$615=0,'_motor'!$B$674=0),"",'_motor'!$H$615/'_motor'!$B$674)</f>
        <v/>
      </c>
      <c r="G35" s="22">
        <f>IF('_motor'!$B$615=0,"",SUMPRODUCT('_motor'!$B$586:$B$665*('_motor'!$G$586:$G$665&gt;'_motor'!$G$615))+(SUMPRODUCT('_motor'!$B$586:$B$665*('_motor'!$G$586:$G$665='_motor'!$G$615))+1)/2)</f>
        <v/>
      </c>
      <c r="H35" s="22">
        <f>IF('_motor'!$B$615=0,"",SUMPRODUCT('_motor'!$B$586:$B$665*('_motor'!$H$586:$H$665&gt;'_motor'!$H$615))+(SUMPRODUCT('_motor'!$B$586:$B$665*('_motor'!$H$586:$H$665='_motor'!$H$615))+1)/2)</f>
        <v/>
      </c>
      <c r="I35" s="19">
        <f>IF('_motor'!$B$615=0,"",IF(AND(ABS('_motor'!$G$615-'_motor'!$B$670)&lt;='_motor'!$B$678+0.000000001,ABS('_motor'!$H$615-'_motor'!$B$670)&lt;='_motor'!$B$678+0.000000001),"5 · Pelotón (no concluyente)",IF(AND('_motor'!$G$615&gt;='_motor'!$B$670,'_motor'!$H$615&lt;'_motor'!$B$670),"1 · Entrada / determinante",IF(AND('_motor'!$G$615&gt;='_motor'!$B$670,'_motor'!$H$615&gt;='_motor'!$B$670),"2 · Intermedia / de enlace",IF(AND('_motor'!$G$615&lt;'_motor'!$B$670,'_motor'!$H$615&gt;='_motor'!$B$670),"3 · Resultado","4 · Excluida / autónoma")))))</f>
        <v/>
      </c>
      <c r="J35" s="19">
        <f>IF('_motor'!$B$615=0,"",IF(AND(ABS('_motor'!$G$615-'_motor'!$B$670)&lt;='_motor'!$B$678+0.000000001,ABS('_motor'!$H$615-'_motor'!$B$670)&lt;='_motor'!$B$678+0.000000001),"Reguladora",IF(AND('_motor'!$G$615&gt;='_motor'!$B$670,'_motor'!$H$615&lt;0.5*'_motor'!$B$670),"Determinante / entorno",IF(AND('_motor'!$G$615&gt;='_motor'!$B$670,'_motor'!$H$615&lt;'_motor'!$B$670),"Palanca secundaria",IF(AND('_motor'!$G$615&gt;='_motor'!$B$670,'_motor'!$H$615&gt;='_motor'!$B$670),"Clave / de enlace",IF(AND('_motor'!$H$615&gt;='_motor'!$B$670,'_motor'!$G$615&gt;=0.5*'_motor'!$B$670),"Objetivo",IF('_motor'!$H$615&gt;='_motor'!$B$670,"Resultado","Autónoma")))))))</f>
        <v/>
      </c>
    </row>
    <row r="36" spans="1:10" x14ac:dyDescent="0.2">
      <c r="A36" s="21">
        <f>IF('_motor'!$B$616=0,"",'02 · Variables'!$B$37)</f>
        <v/>
      </c>
      <c r="B36" s="19">
        <f>IF('_motor'!$B$616=0,"",'02 · Variables'!$C$37)</f>
        <v/>
      </c>
      <c r="C36" s="38">
        <f>IF('_motor'!$B$616=0,"",'_motor'!$G$616)</f>
        <v/>
      </c>
      <c r="D36" s="38">
        <f>IF('_motor'!$B$616=0,"",'_motor'!$H$616)</f>
        <v/>
      </c>
      <c r="E36" s="33">
        <f>IF(OR('_motor'!$B$616=0,'_motor'!$B$674=0),"",'_motor'!$G$616/'_motor'!$B$674)</f>
        <v/>
      </c>
      <c r="F36" s="33">
        <f>IF(OR('_motor'!$B$616=0,'_motor'!$B$674=0),"",'_motor'!$H$616/'_motor'!$B$674)</f>
        <v/>
      </c>
      <c r="G36" s="22">
        <f>IF('_motor'!$B$616=0,"",SUMPRODUCT('_motor'!$B$586:$B$665*('_motor'!$G$586:$G$665&gt;'_motor'!$G$616))+(SUMPRODUCT('_motor'!$B$586:$B$665*('_motor'!$G$586:$G$665='_motor'!$G$616))+1)/2)</f>
        <v/>
      </c>
      <c r="H36" s="22">
        <f>IF('_motor'!$B$616=0,"",SUMPRODUCT('_motor'!$B$586:$B$665*('_motor'!$H$586:$H$665&gt;'_motor'!$H$616))+(SUMPRODUCT('_motor'!$B$586:$B$665*('_motor'!$H$586:$H$665='_motor'!$H$616))+1)/2)</f>
        <v/>
      </c>
      <c r="I36" s="19">
        <f>IF('_motor'!$B$616=0,"",IF(AND(ABS('_motor'!$G$616-'_motor'!$B$670)&lt;='_motor'!$B$678+0.000000001,ABS('_motor'!$H$616-'_motor'!$B$670)&lt;='_motor'!$B$678+0.000000001),"5 · Pelotón (no concluyente)",IF(AND('_motor'!$G$616&gt;='_motor'!$B$670,'_motor'!$H$616&lt;'_motor'!$B$670),"1 · Entrada / determinante",IF(AND('_motor'!$G$616&gt;='_motor'!$B$670,'_motor'!$H$616&gt;='_motor'!$B$670),"2 · Intermedia / de enlace",IF(AND('_motor'!$G$616&lt;'_motor'!$B$670,'_motor'!$H$616&gt;='_motor'!$B$670),"3 · Resultado","4 · Excluida / autónoma")))))</f>
        <v/>
      </c>
      <c r="J36" s="19">
        <f>IF('_motor'!$B$616=0,"",IF(AND(ABS('_motor'!$G$616-'_motor'!$B$670)&lt;='_motor'!$B$678+0.000000001,ABS('_motor'!$H$616-'_motor'!$B$670)&lt;='_motor'!$B$678+0.000000001),"Reguladora",IF(AND('_motor'!$G$616&gt;='_motor'!$B$670,'_motor'!$H$616&lt;0.5*'_motor'!$B$670),"Determinante / entorno",IF(AND('_motor'!$G$616&gt;='_motor'!$B$670,'_motor'!$H$616&lt;'_motor'!$B$670),"Palanca secundaria",IF(AND('_motor'!$G$616&gt;='_motor'!$B$670,'_motor'!$H$616&gt;='_motor'!$B$670),"Clave / de enlace",IF(AND('_motor'!$H$616&gt;='_motor'!$B$670,'_motor'!$G$616&gt;=0.5*'_motor'!$B$670),"Objetivo",IF('_motor'!$H$616&gt;='_motor'!$B$670,"Resultado","Autónoma")))))))</f>
        <v/>
      </c>
    </row>
    <row r="37" spans="1:10" x14ac:dyDescent="0.2">
      <c r="A37" s="21">
        <f>IF('_motor'!$B$617=0,"",'02 · Variables'!$B$38)</f>
        <v/>
      </c>
      <c r="B37" s="19">
        <f>IF('_motor'!$B$617=0,"",'02 · Variables'!$C$38)</f>
        <v/>
      </c>
      <c r="C37" s="38">
        <f>IF('_motor'!$B$617=0,"",'_motor'!$G$617)</f>
        <v/>
      </c>
      <c r="D37" s="38">
        <f>IF('_motor'!$B$617=0,"",'_motor'!$H$617)</f>
        <v/>
      </c>
      <c r="E37" s="33">
        <f>IF(OR('_motor'!$B$617=0,'_motor'!$B$674=0),"",'_motor'!$G$617/'_motor'!$B$674)</f>
        <v/>
      </c>
      <c r="F37" s="33">
        <f>IF(OR('_motor'!$B$617=0,'_motor'!$B$674=0),"",'_motor'!$H$617/'_motor'!$B$674)</f>
        <v/>
      </c>
      <c r="G37" s="22">
        <f>IF('_motor'!$B$617=0,"",SUMPRODUCT('_motor'!$B$586:$B$665*('_motor'!$G$586:$G$665&gt;'_motor'!$G$617))+(SUMPRODUCT('_motor'!$B$586:$B$665*('_motor'!$G$586:$G$665='_motor'!$G$617))+1)/2)</f>
        <v/>
      </c>
      <c r="H37" s="22">
        <f>IF('_motor'!$B$617=0,"",SUMPRODUCT('_motor'!$B$586:$B$665*('_motor'!$H$586:$H$665&gt;'_motor'!$H$617))+(SUMPRODUCT('_motor'!$B$586:$B$665*('_motor'!$H$586:$H$665='_motor'!$H$617))+1)/2)</f>
        <v/>
      </c>
      <c r="I37" s="19">
        <f>IF('_motor'!$B$617=0,"",IF(AND(ABS('_motor'!$G$617-'_motor'!$B$670)&lt;='_motor'!$B$678+0.000000001,ABS('_motor'!$H$617-'_motor'!$B$670)&lt;='_motor'!$B$678+0.000000001),"5 · Pelotón (no concluyente)",IF(AND('_motor'!$G$617&gt;='_motor'!$B$670,'_motor'!$H$617&lt;'_motor'!$B$670),"1 · Entrada / determinante",IF(AND('_motor'!$G$617&gt;='_motor'!$B$670,'_motor'!$H$617&gt;='_motor'!$B$670),"2 · Intermedia / de enlace",IF(AND('_motor'!$G$617&lt;'_motor'!$B$670,'_motor'!$H$617&gt;='_motor'!$B$670),"3 · Resultado","4 · Excluida / autónoma")))))</f>
        <v/>
      </c>
      <c r="J37" s="19">
        <f>IF('_motor'!$B$617=0,"",IF(AND(ABS('_motor'!$G$617-'_motor'!$B$670)&lt;='_motor'!$B$678+0.000000001,ABS('_motor'!$H$617-'_motor'!$B$670)&lt;='_motor'!$B$678+0.000000001),"Reguladora",IF(AND('_motor'!$G$617&gt;='_motor'!$B$670,'_motor'!$H$617&lt;0.5*'_motor'!$B$670),"Determinante / entorno",IF(AND('_motor'!$G$617&gt;='_motor'!$B$670,'_motor'!$H$617&lt;'_motor'!$B$670),"Palanca secundaria",IF(AND('_motor'!$G$617&gt;='_motor'!$B$670,'_motor'!$H$617&gt;='_motor'!$B$670),"Clave / de enlace",IF(AND('_motor'!$H$617&gt;='_motor'!$B$670,'_motor'!$G$617&gt;=0.5*'_motor'!$B$670),"Objetivo",IF('_motor'!$H$617&gt;='_motor'!$B$670,"Resultado","Autónoma")))))))</f>
        <v/>
      </c>
    </row>
    <row r="38" spans="1:10" x14ac:dyDescent="0.2">
      <c r="A38" s="21">
        <f>IF('_motor'!$B$618=0,"",'02 · Variables'!$B$39)</f>
        <v/>
      </c>
      <c r="B38" s="19">
        <f>IF('_motor'!$B$618=0,"",'02 · Variables'!$C$39)</f>
        <v/>
      </c>
      <c r="C38" s="38">
        <f>IF('_motor'!$B$618=0,"",'_motor'!$G$618)</f>
        <v/>
      </c>
      <c r="D38" s="38">
        <f>IF('_motor'!$B$618=0,"",'_motor'!$H$618)</f>
        <v/>
      </c>
      <c r="E38" s="33">
        <f>IF(OR('_motor'!$B$618=0,'_motor'!$B$674=0),"",'_motor'!$G$618/'_motor'!$B$674)</f>
        <v/>
      </c>
      <c r="F38" s="33">
        <f>IF(OR('_motor'!$B$618=0,'_motor'!$B$674=0),"",'_motor'!$H$618/'_motor'!$B$674)</f>
        <v/>
      </c>
      <c r="G38" s="22">
        <f>IF('_motor'!$B$618=0,"",SUMPRODUCT('_motor'!$B$586:$B$665*('_motor'!$G$586:$G$665&gt;'_motor'!$G$618))+(SUMPRODUCT('_motor'!$B$586:$B$665*('_motor'!$G$586:$G$665='_motor'!$G$618))+1)/2)</f>
        <v/>
      </c>
      <c r="H38" s="22">
        <f>IF('_motor'!$B$618=0,"",SUMPRODUCT('_motor'!$B$586:$B$665*('_motor'!$H$586:$H$665&gt;'_motor'!$H$618))+(SUMPRODUCT('_motor'!$B$586:$B$665*('_motor'!$H$586:$H$665='_motor'!$H$618))+1)/2)</f>
        <v/>
      </c>
      <c r="I38" s="19">
        <f>IF('_motor'!$B$618=0,"",IF(AND(ABS('_motor'!$G$618-'_motor'!$B$670)&lt;='_motor'!$B$678+0.000000001,ABS('_motor'!$H$618-'_motor'!$B$670)&lt;='_motor'!$B$678+0.000000001),"5 · Pelotón (no concluyente)",IF(AND('_motor'!$G$618&gt;='_motor'!$B$670,'_motor'!$H$618&lt;'_motor'!$B$670),"1 · Entrada / determinante",IF(AND('_motor'!$G$618&gt;='_motor'!$B$670,'_motor'!$H$618&gt;='_motor'!$B$670),"2 · Intermedia / de enlace",IF(AND('_motor'!$G$618&lt;'_motor'!$B$670,'_motor'!$H$618&gt;='_motor'!$B$670),"3 · Resultado","4 · Excluida / autónoma")))))</f>
        <v/>
      </c>
      <c r="J38" s="19">
        <f>IF('_motor'!$B$618=0,"",IF(AND(ABS('_motor'!$G$618-'_motor'!$B$670)&lt;='_motor'!$B$678+0.000000001,ABS('_motor'!$H$618-'_motor'!$B$670)&lt;='_motor'!$B$678+0.000000001),"Reguladora",IF(AND('_motor'!$G$618&gt;='_motor'!$B$670,'_motor'!$H$618&lt;0.5*'_motor'!$B$670),"Determinante / entorno",IF(AND('_motor'!$G$618&gt;='_motor'!$B$670,'_motor'!$H$618&lt;'_motor'!$B$670),"Palanca secundaria",IF(AND('_motor'!$G$618&gt;='_motor'!$B$670,'_motor'!$H$618&gt;='_motor'!$B$670),"Clave / de enlace",IF(AND('_motor'!$H$618&gt;='_motor'!$B$670,'_motor'!$G$618&gt;=0.5*'_motor'!$B$670),"Objetivo",IF('_motor'!$H$618&gt;='_motor'!$B$670,"Resultado","Autónoma")))))))</f>
        <v/>
      </c>
    </row>
    <row r="39" spans="1:10" x14ac:dyDescent="0.2">
      <c r="A39" s="21">
        <f>IF('_motor'!$B$619=0,"",'02 · Variables'!$B$40)</f>
        <v/>
      </c>
      <c r="B39" s="19">
        <f>IF('_motor'!$B$619=0,"",'02 · Variables'!$C$40)</f>
        <v/>
      </c>
      <c r="C39" s="38">
        <f>IF('_motor'!$B$619=0,"",'_motor'!$G$619)</f>
        <v/>
      </c>
      <c r="D39" s="38">
        <f>IF('_motor'!$B$619=0,"",'_motor'!$H$619)</f>
        <v/>
      </c>
      <c r="E39" s="33">
        <f>IF(OR('_motor'!$B$619=0,'_motor'!$B$674=0),"",'_motor'!$G$619/'_motor'!$B$674)</f>
        <v/>
      </c>
      <c r="F39" s="33">
        <f>IF(OR('_motor'!$B$619=0,'_motor'!$B$674=0),"",'_motor'!$H$619/'_motor'!$B$674)</f>
        <v/>
      </c>
      <c r="G39" s="22">
        <f>IF('_motor'!$B$619=0,"",SUMPRODUCT('_motor'!$B$586:$B$665*('_motor'!$G$586:$G$665&gt;'_motor'!$G$619))+(SUMPRODUCT('_motor'!$B$586:$B$665*('_motor'!$G$586:$G$665='_motor'!$G$619))+1)/2)</f>
        <v/>
      </c>
      <c r="H39" s="22">
        <f>IF('_motor'!$B$619=0,"",SUMPRODUCT('_motor'!$B$586:$B$665*('_motor'!$H$586:$H$665&gt;'_motor'!$H$619))+(SUMPRODUCT('_motor'!$B$586:$B$665*('_motor'!$H$586:$H$665='_motor'!$H$619))+1)/2)</f>
        <v/>
      </c>
      <c r="I39" s="19">
        <f>IF('_motor'!$B$619=0,"",IF(AND(ABS('_motor'!$G$619-'_motor'!$B$670)&lt;='_motor'!$B$678+0.000000001,ABS('_motor'!$H$619-'_motor'!$B$670)&lt;='_motor'!$B$678+0.000000001),"5 · Pelotón (no concluyente)",IF(AND('_motor'!$G$619&gt;='_motor'!$B$670,'_motor'!$H$619&lt;'_motor'!$B$670),"1 · Entrada / determinante",IF(AND('_motor'!$G$619&gt;='_motor'!$B$670,'_motor'!$H$619&gt;='_motor'!$B$670),"2 · Intermedia / de enlace",IF(AND('_motor'!$G$619&lt;'_motor'!$B$670,'_motor'!$H$619&gt;='_motor'!$B$670),"3 · Resultado","4 · Excluida / autónoma")))))</f>
        <v/>
      </c>
      <c r="J39" s="19">
        <f>IF('_motor'!$B$619=0,"",IF(AND(ABS('_motor'!$G$619-'_motor'!$B$670)&lt;='_motor'!$B$678+0.000000001,ABS('_motor'!$H$619-'_motor'!$B$670)&lt;='_motor'!$B$678+0.000000001),"Reguladora",IF(AND('_motor'!$G$619&gt;='_motor'!$B$670,'_motor'!$H$619&lt;0.5*'_motor'!$B$670),"Determinante / entorno",IF(AND('_motor'!$G$619&gt;='_motor'!$B$670,'_motor'!$H$619&lt;'_motor'!$B$670),"Palanca secundaria",IF(AND('_motor'!$G$619&gt;='_motor'!$B$670,'_motor'!$H$619&gt;='_motor'!$B$670),"Clave / de enlace",IF(AND('_motor'!$H$619&gt;='_motor'!$B$670,'_motor'!$G$619&gt;=0.5*'_motor'!$B$670),"Objetivo",IF('_motor'!$H$619&gt;='_motor'!$B$670,"Resultado","Autónoma")))))))</f>
        <v/>
      </c>
    </row>
    <row r="40" spans="1:10" x14ac:dyDescent="0.2">
      <c r="A40" s="21">
        <f>IF('_motor'!$B$620=0,"",'02 · Variables'!$B$41)</f>
        <v/>
      </c>
      <c r="B40" s="19">
        <f>IF('_motor'!$B$620=0,"",'02 · Variables'!$C$41)</f>
        <v/>
      </c>
      <c r="C40" s="38">
        <f>IF('_motor'!$B$620=0,"",'_motor'!$G$620)</f>
        <v/>
      </c>
      <c r="D40" s="38">
        <f>IF('_motor'!$B$620=0,"",'_motor'!$H$620)</f>
        <v/>
      </c>
      <c r="E40" s="33">
        <f>IF(OR('_motor'!$B$620=0,'_motor'!$B$674=0),"",'_motor'!$G$620/'_motor'!$B$674)</f>
        <v/>
      </c>
      <c r="F40" s="33">
        <f>IF(OR('_motor'!$B$620=0,'_motor'!$B$674=0),"",'_motor'!$H$620/'_motor'!$B$674)</f>
        <v/>
      </c>
      <c r="G40" s="22">
        <f>IF('_motor'!$B$620=0,"",SUMPRODUCT('_motor'!$B$586:$B$665*('_motor'!$G$586:$G$665&gt;'_motor'!$G$620))+(SUMPRODUCT('_motor'!$B$586:$B$665*('_motor'!$G$586:$G$665='_motor'!$G$620))+1)/2)</f>
        <v/>
      </c>
      <c r="H40" s="22">
        <f>IF('_motor'!$B$620=0,"",SUMPRODUCT('_motor'!$B$586:$B$665*('_motor'!$H$586:$H$665&gt;'_motor'!$H$620))+(SUMPRODUCT('_motor'!$B$586:$B$665*('_motor'!$H$586:$H$665='_motor'!$H$620))+1)/2)</f>
        <v/>
      </c>
      <c r="I40" s="19">
        <f>IF('_motor'!$B$620=0,"",IF(AND(ABS('_motor'!$G$620-'_motor'!$B$670)&lt;='_motor'!$B$678+0.000000001,ABS('_motor'!$H$620-'_motor'!$B$670)&lt;='_motor'!$B$678+0.000000001),"5 · Pelotón (no concluyente)",IF(AND('_motor'!$G$620&gt;='_motor'!$B$670,'_motor'!$H$620&lt;'_motor'!$B$670),"1 · Entrada / determinante",IF(AND('_motor'!$G$620&gt;='_motor'!$B$670,'_motor'!$H$620&gt;='_motor'!$B$670),"2 · Intermedia / de enlace",IF(AND('_motor'!$G$620&lt;'_motor'!$B$670,'_motor'!$H$620&gt;='_motor'!$B$670),"3 · Resultado","4 · Excluida / autónoma")))))</f>
        <v/>
      </c>
      <c r="J40" s="19">
        <f>IF('_motor'!$B$620=0,"",IF(AND(ABS('_motor'!$G$620-'_motor'!$B$670)&lt;='_motor'!$B$678+0.000000001,ABS('_motor'!$H$620-'_motor'!$B$670)&lt;='_motor'!$B$678+0.000000001),"Reguladora",IF(AND('_motor'!$G$620&gt;='_motor'!$B$670,'_motor'!$H$620&lt;0.5*'_motor'!$B$670),"Determinante / entorno",IF(AND('_motor'!$G$620&gt;='_motor'!$B$670,'_motor'!$H$620&lt;'_motor'!$B$670),"Palanca secundaria",IF(AND('_motor'!$G$620&gt;='_motor'!$B$670,'_motor'!$H$620&gt;='_motor'!$B$670),"Clave / de enlace",IF(AND('_motor'!$H$620&gt;='_motor'!$B$670,'_motor'!$G$620&gt;=0.5*'_motor'!$B$670),"Objetivo",IF('_motor'!$H$620&gt;='_motor'!$B$670,"Resultado","Autónoma")))))))</f>
        <v/>
      </c>
    </row>
    <row r="41" spans="1:10" x14ac:dyDescent="0.2">
      <c r="A41" s="21">
        <f>IF('_motor'!$B$621=0,"",'02 · Variables'!$B$42)</f>
        <v/>
      </c>
      <c r="B41" s="19">
        <f>IF('_motor'!$B$621=0,"",'02 · Variables'!$C$42)</f>
        <v/>
      </c>
      <c r="C41" s="38">
        <f>IF('_motor'!$B$621=0,"",'_motor'!$G$621)</f>
        <v/>
      </c>
      <c r="D41" s="38">
        <f>IF('_motor'!$B$621=0,"",'_motor'!$H$621)</f>
        <v/>
      </c>
      <c r="E41" s="33">
        <f>IF(OR('_motor'!$B$621=0,'_motor'!$B$674=0),"",'_motor'!$G$621/'_motor'!$B$674)</f>
        <v/>
      </c>
      <c r="F41" s="33">
        <f>IF(OR('_motor'!$B$621=0,'_motor'!$B$674=0),"",'_motor'!$H$621/'_motor'!$B$674)</f>
        <v/>
      </c>
      <c r="G41" s="22">
        <f>IF('_motor'!$B$621=0,"",SUMPRODUCT('_motor'!$B$586:$B$665*('_motor'!$G$586:$G$665&gt;'_motor'!$G$621))+(SUMPRODUCT('_motor'!$B$586:$B$665*('_motor'!$G$586:$G$665='_motor'!$G$621))+1)/2)</f>
        <v/>
      </c>
      <c r="H41" s="22">
        <f>IF('_motor'!$B$621=0,"",SUMPRODUCT('_motor'!$B$586:$B$665*('_motor'!$H$586:$H$665&gt;'_motor'!$H$621))+(SUMPRODUCT('_motor'!$B$586:$B$665*('_motor'!$H$586:$H$665='_motor'!$H$621))+1)/2)</f>
        <v/>
      </c>
      <c r="I41" s="19">
        <f>IF('_motor'!$B$621=0,"",IF(AND(ABS('_motor'!$G$621-'_motor'!$B$670)&lt;='_motor'!$B$678+0.000000001,ABS('_motor'!$H$621-'_motor'!$B$670)&lt;='_motor'!$B$678+0.000000001),"5 · Pelotón (no concluyente)",IF(AND('_motor'!$G$621&gt;='_motor'!$B$670,'_motor'!$H$621&lt;'_motor'!$B$670),"1 · Entrada / determinante",IF(AND('_motor'!$G$621&gt;='_motor'!$B$670,'_motor'!$H$621&gt;='_motor'!$B$670),"2 · Intermedia / de enlace",IF(AND('_motor'!$G$621&lt;'_motor'!$B$670,'_motor'!$H$621&gt;='_motor'!$B$670),"3 · Resultado","4 · Excluida / autónoma")))))</f>
        <v/>
      </c>
      <c r="J41" s="19">
        <f>IF('_motor'!$B$621=0,"",IF(AND(ABS('_motor'!$G$621-'_motor'!$B$670)&lt;='_motor'!$B$678+0.000000001,ABS('_motor'!$H$621-'_motor'!$B$670)&lt;='_motor'!$B$678+0.000000001),"Reguladora",IF(AND('_motor'!$G$621&gt;='_motor'!$B$670,'_motor'!$H$621&lt;0.5*'_motor'!$B$670),"Determinante / entorno",IF(AND('_motor'!$G$621&gt;='_motor'!$B$670,'_motor'!$H$621&lt;'_motor'!$B$670),"Palanca secundaria",IF(AND('_motor'!$G$621&gt;='_motor'!$B$670,'_motor'!$H$621&gt;='_motor'!$B$670),"Clave / de enlace",IF(AND('_motor'!$H$621&gt;='_motor'!$B$670,'_motor'!$G$621&gt;=0.5*'_motor'!$B$670),"Objetivo",IF('_motor'!$H$621&gt;='_motor'!$B$670,"Resultado","Autónoma")))))))</f>
        <v/>
      </c>
    </row>
    <row r="42" spans="1:10" x14ac:dyDescent="0.2">
      <c r="A42" s="21">
        <f>IF('_motor'!$B$622=0,"",'02 · Variables'!$B$43)</f>
        <v/>
      </c>
      <c r="B42" s="19">
        <f>IF('_motor'!$B$622=0,"",'02 · Variables'!$C$43)</f>
        <v/>
      </c>
      <c r="C42" s="38">
        <f>IF('_motor'!$B$622=0,"",'_motor'!$G$622)</f>
        <v/>
      </c>
      <c r="D42" s="38">
        <f>IF('_motor'!$B$622=0,"",'_motor'!$H$622)</f>
        <v/>
      </c>
      <c r="E42" s="33">
        <f>IF(OR('_motor'!$B$622=0,'_motor'!$B$674=0),"",'_motor'!$G$622/'_motor'!$B$674)</f>
        <v/>
      </c>
      <c r="F42" s="33">
        <f>IF(OR('_motor'!$B$622=0,'_motor'!$B$674=0),"",'_motor'!$H$622/'_motor'!$B$674)</f>
        <v/>
      </c>
      <c r="G42" s="22">
        <f>IF('_motor'!$B$622=0,"",SUMPRODUCT('_motor'!$B$586:$B$665*('_motor'!$G$586:$G$665&gt;'_motor'!$G$622))+(SUMPRODUCT('_motor'!$B$586:$B$665*('_motor'!$G$586:$G$665='_motor'!$G$622))+1)/2)</f>
        <v/>
      </c>
      <c r="H42" s="22">
        <f>IF('_motor'!$B$622=0,"",SUMPRODUCT('_motor'!$B$586:$B$665*('_motor'!$H$586:$H$665&gt;'_motor'!$H$622))+(SUMPRODUCT('_motor'!$B$586:$B$665*('_motor'!$H$586:$H$665='_motor'!$H$622))+1)/2)</f>
        <v/>
      </c>
      <c r="I42" s="19">
        <f>IF('_motor'!$B$622=0,"",IF(AND(ABS('_motor'!$G$622-'_motor'!$B$670)&lt;='_motor'!$B$678+0.000000001,ABS('_motor'!$H$622-'_motor'!$B$670)&lt;='_motor'!$B$678+0.000000001),"5 · Pelotón (no concluyente)",IF(AND('_motor'!$G$622&gt;='_motor'!$B$670,'_motor'!$H$622&lt;'_motor'!$B$670),"1 · Entrada / determinante",IF(AND('_motor'!$G$622&gt;='_motor'!$B$670,'_motor'!$H$622&gt;='_motor'!$B$670),"2 · Intermedia / de enlace",IF(AND('_motor'!$G$622&lt;'_motor'!$B$670,'_motor'!$H$622&gt;='_motor'!$B$670),"3 · Resultado","4 · Excluida / autónoma")))))</f>
        <v/>
      </c>
      <c r="J42" s="19">
        <f>IF('_motor'!$B$622=0,"",IF(AND(ABS('_motor'!$G$622-'_motor'!$B$670)&lt;='_motor'!$B$678+0.000000001,ABS('_motor'!$H$622-'_motor'!$B$670)&lt;='_motor'!$B$678+0.000000001),"Reguladora",IF(AND('_motor'!$G$622&gt;='_motor'!$B$670,'_motor'!$H$622&lt;0.5*'_motor'!$B$670),"Determinante / entorno",IF(AND('_motor'!$G$622&gt;='_motor'!$B$670,'_motor'!$H$622&lt;'_motor'!$B$670),"Palanca secundaria",IF(AND('_motor'!$G$622&gt;='_motor'!$B$670,'_motor'!$H$622&gt;='_motor'!$B$670),"Clave / de enlace",IF(AND('_motor'!$H$622&gt;='_motor'!$B$670,'_motor'!$G$622&gt;=0.5*'_motor'!$B$670),"Objetivo",IF('_motor'!$H$622&gt;='_motor'!$B$670,"Resultado","Autónoma")))))))</f>
        <v/>
      </c>
    </row>
    <row r="43" spans="1:10" x14ac:dyDescent="0.2">
      <c r="A43" s="21">
        <f>IF('_motor'!$B$623=0,"",'02 · Variables'!$B$44)</f>
        <v/>
      </c>
      <c r="B43" s="19">
        <f>IF('_motor'!$B$623=0,"",'02 · Variables'!$C$44)</f>
        <v/>
      </c>
      <c r="C43" s="38">
        <f>IF('_motor'!$B$623=0,"",'_motor'!$G$623)</f>
        <v/>
      </c>
      <c r="D43" s="38">
        <f>IF('_motor'!$B$623=0,"",'_motor'!$H$623)</f>
        <v/>
      </c>
      <c r="E43" s="33">
        <f>IF(OR('_motor'!$B$623=0,'_motor'!$B$674=0),"",'_motor'!$G$623/'_motor'!$B$674)</f>
        <v/>
      </c>
      <c r="F43" s="33">
        <f>IF(OR('_motor'!$B$623=0,'_motor'!$B$674=0),"",'_motor'!$H$623/'_motor'!$B$674)</f>
        <v/>
      </c>
      <c r="G43" s="22">
        <f>IF('_motor'!$B$623=0,"",SUMPRODUCT('_motor'!$B$586:$B$665*('_motor'!$G$586:$G$665&gt;'_motor'!$G$623))+(SUMPRODUCT('_motor'!$B$586:$B$665*('_motor'!$G$586:$G$665='_motor'!$G$623))+1)/2)</f>
        <v/>
      </c>
      <c r="H43" s="22">
        <f>IF('_motor'!$B$623=0,"",SUMPRODUCT('_motor'!$B$586:$B$665*('_motor'!$H$586:$H$665&gt;'_motor'!$H$623))+(SUMPRODUCT('_motor'!$B$586:$B$665*('_motor'!$H$586:$H$665='_motor'!$H$623))+1)/2)</f>
        <v/>
      </c>
      <c r="I43" s="19">
        <f>IF('_motor'!$B$623=0,"",IF(AND(ABS('_motor'!$G$623-'_motor'!$B$670)&lt;='_motor'!$B$678+0.000000001,ABS('_motor'!$H$623-'_motor'!$B$670)&lt;='_motor'!$B$678+0.000000001),"5 · Pelotón (no concluyente)",IF(AND('_motor'!$G$623&gt;='_motor'!$B$670,'_motor'!$H$623&lt;'_motor'!$B$670),"1 · Entrada / determinante",IF(AND('_motor'!$G$623&gt;='_motor'!$B$670,'_motor'!$H$623&gt;='_motor'!$B$670),"2 · Intermedia / de enlace",IF(AND('_motor'!$G$623&lt;'_motor'!$B$670,'_motor'!$H$623&gt;='_motor'!$B$670),"3 · Resultado","4 · Excluida / autónoma")))))</f>
        <v/>
      </c>
      <c r="J43" s="19">
        <f>IF('_motor'!$B$623=0,"",IF(AND(ABS('_motor'!$G$623-'_motor'!$B$670)&lt;='_motor'!$B$678+0.000000001,ABS('_motor'!$H$623-'_motor'!$B$670)&lt;='_motor'!$B$678+0.000000001),"Reguladora",IF(AND('_motor'!$G$623&gt;='_motor'!$B$670,'_motor'!$H$623&lt;0.5*'_motor'!$B$670),"Determinante / entorno",IF(AND('_motor'!$G$623&gt;='_motor'!$B$670,'_motor'!$H$623&lt;'_motor'!$B$670),"Palanca secundaria",IF(AND('_motor'!$G$623&gt;='_motor'!$B$670,'_motor'!$H$623&gt;='_motor'!$B$670),"Clave / de enlace",IF(AND('_motor'!$H$623&gt;='_motor'!$B$670,'_motor'!$G$623&gt;=0.5*'_motor'!$B$670),"Objetivo",IF('_motor'!$H$623&gt;='_motor'!$B$670,"Resultado","Autónoma")))))))</f>
        <v/>
      </c>
    </row>
    <row r="44" spans="1:10" x14ac:dyDescent="0.2">
      <c r="A44" s="21">
        <f>IF('_motor'!$B$624=0,"",'02 · Variables'!$B$45)</f>
        <v/>
      </c>
      <c r="B44" s="19">
        <f>IF('_motor'!$B$624=0,"",'02 · Variables'!$C$45)</f>
        <v/>
      </c>
      <c r="C44" s="38">
        <f>IF('_motor'!$B$624=0,"",'_motor'!$G$624)</f>
        <v/>
      </c>
      <c r="D44" s="38">
        <f>IF('_motor'!$B$624=0,"",'_motor'!$H$624)</f>
        <v/>
      </c>
      <c r="E44" s="33">
        <f>IF(OR('_motor'!$B$624=0,'_motor'!$B$674=0),"",'_motor'!$G$624/'_motor'!$B$674)</f>
        <v/>
      </c>
      <c r="F44" s="33">
        <f>IF(OR('_motor'!$B$624=0,'_motor'!$B$674=0),"",'_motor'!$H$624/'_motor'!$B$674)</f>
        <v/>
      </c>
      <c r="G44" s="22">
        <f>IF('_motor'!$B$624=0,"",SUMPRODUCT('_motor'!$B$586:$B$665*('_motor'!$G$586:$G$665&gt;'_motor'!$G$624))+(SUMPRODUCT('_motor'!$B$586:$B$665*('_motor'!$G$586:$G$665='_motor'!$G$624))+1)/2)</f>
        <v/>
      </c>
      <c r="H44" s="22">
        <f>IF('_motor'!$B$624=0,"",SUMPRODUCT('_motor'!$B$586:$B$665*('_motor'!$H$586:$H$665&gt;'_motor'!$H$624))+(SUMPRODUCT('_motor'!$B$586:$B$665*('_motor'!$H$586:$H$665='_motor'!$H$624))+1)/2)</f>
        <v/>
      </c>
      <c r="I44" s="19">
        <f>IF('_motor'!$B$624=0,"",IF(AND(ABS('_motor'!$G$624-'_motor'!$B$670)&lt;='_motor'!$B$678+0.000000001,ABS('_motor'!$H$624-'_motor'!$B$670)&lt;='_motor'!$B$678+0.000000001),"5 · Pelotón (no concluyente)",IF(AND('_motor'!$G$624&gt;='_motor'!$B$670,'_motor'!$H$624&lt;'_motor'!$B$670),"1 · Entrada / determinante",IF(AND('_motor'!$G$624&gt;='_motor'!$B$670,'_motor'!$H$624&gt;='_motor'!$B$670),"2 · Intermedia / de enlace",IF(AND('_motor'!$G$624&lt;'_motor'!$B$670,'_motor'!$H$624&gt;='_motor'!$B$670),"3 · Resultado","4 · Excluida / autónoma")))))</f>
        <v/>
      </c>
      <c r="J44" s="19">
        <f>IF('_motor'!$B$624=0,"",IF(AND(ABS('_motor'!$G$624-'_motor'!$B$670)&lt;='_motor'!$B$678+0.000000001,ABS('_motor'!$H$624-'_motor'!$B$670)&lt;='_motor'!$B$678+0.000000001),"Reguladora",IF(AND('_motor'!$G$624&gt;='_motor'!$B$670,'_motor'!$H$624&lt;0.5*'_motor'!$B$670),"Determinante / entorno",IF(AND('_motor'!$G$624&gt;='_motor'!$B$670,'_motor'!$H$624&lt;'_motor'!$B$670),"Palanca secundaria",IF(AND('_motor'!$G$624&gt;='_motor'!$B$670,'_motor'!$H$624&gt;='_motor'!$B$670),"Clave / de enlace",IF(AND('_motor'!$H$624&gt;='_motor'!$B$670,'_motor'!$G$624&gt;=0.5*'_motor'!$B$670),"Objetivo",IF('_motor'!$H$624&gt;='_motor'!$B$670,"Resultado","Autónoma")))))))</f>
        <v/>
      </c>
    </row>
    <row r="45" spans="1:10" x14ac:dyDescent="0.2">
      <c r="A45" s="21">
        <f>IF('_motor'!$B$625=0,"",'02 · Variables'!$B$46)</f>
        <v/>
      </c>
      <c r="B45" s="19">
        <f>IF('_motor'!$B$625=0,"",'02 · Variables'!$C$46)</f>
        <v/>
      </c>
      <c r="C45" s="38">
        <f>IF('_motor'!$B$625=0,"",'_motor'!$G$625)</f>
        <v/>
      </c>
      <c r="D45" s="38">
        <f>IF('_motor'!$B$625=0,"",'_motor'!$H$625)</f>
        <v/>
      </c>
      <c r="E45" s="33">
        <f>IF(OR('_motor'!$B$625=0,'_motor'!$B$674=0),"",'_motor'!$G$625/'_motor'!$B$674)</f>
        <v/>
      </c>
      <c r="F45" s="33">
        <f>IF(OR('_motor'!$B$625=0,'_motor'!$B$674=0),"",'_motor'!$H$625/'_motor'!$B$674)</f>
        <v/>
      </c>
      <c r="G45" s="22">
        <f>IF('_motor'!$B$625=0,"",SUMPRODUCT('_motor'!$B$586:$B$665*('_motor'!$G$586:$G$665&gt;'_motor'!$G$625))+(SUMPRODUCT('_motor'!$B$586:$B$665*('_motor'!$G$586:$G$665='_motor'!$G$625))+1)/2)</f>
        <v/>
      </c>
      <c r="H45" s="22">
        <f>IF('_motor'!$B$625=0,"",SUMPRODUCT('_motor'!$B$586:$B$665*('_motor'!$H$586:$H$665&gt;'_motor'!$H$625))+(SUMPRODUCT('_motor'!$B$586:$B$665*('_motor'!$H$586:$H$665='_motor'!$H$625))+1)/2)</f>
        <v/>
      </c>
      <c r="I45" s="19">
        <f>IF('_motor'!$B$625=0,"",IF(AND(ABS('_motor'!$G$625-'_motor'!$B$670)&lt;='_motor'!$B$678+0.000000001,ABS('_motor'!$H$625-'_motor'!$B$670)&lt;='_motor'!$B$678+0.000000001),"5 · Pelotón (no concluyente)",IF(AND('_motor'!$G$625&gt;='_motor'!$B$670,'_motor'!$H$625&lt;'_motor'!$B$670),"1 · Entrada / determinante",IF(AND('_motor'!$G$625&gt;='_motor'!$B$670,'_motor'!$H$625&gt;='_motor'!$B$670),"2 · Intermedia / de enlace",IF(AND('_motor'!$G$625&lt;'_motor'!$B$670,'_motor'!$H$625&gt;='_motor'!$B$670),"3 · Resultado","4 · Excluida / autónoma")))))</f>
        <v/>
      </c>
      <c r="J45" s="19">
        <f>IF('_motor'!$B$625=0,"",IF(AND(ABS('_motor'!$G$625-'_motor'!$B$670)&lt;='_motor'!$B$678+0.000000001,ABS('_motor'!$H$625-'_motor'!$B$670)&lt;='_motor'!$B$678+0.000000001),"Reguladora",IF(AND('_motor'!$G$625&gt;='_motor'!$B$670,'_motor'!$H$625&lt;0.5*'_motor'!$B$670),"Determinante / entorno",IF(AND('_motor'!$G$625&gt;='_motor'!$B$670,'_motor'!$H$625&lt;'_motor'!$B$670),"Palanca secundaria",IF(AND('_motor'!$G$625&gt;='_motor'!$B$670,'_motor'!$H$625&gt;='_motor'!$B$670),"Clave / de enlace",IF(AND('_motor'!$H$625&gt;='_motor'!$B$670,'_motor'!$G$625&gt;=0.5*'_motor'!$B$670),"Objetivo",IF('_motor'!$H$625&gt;='_motor'!$B$670,"Resultado","Autónoma")))))))</f>
        <v/>
      </c>
    </row>
    <row r="46" spans="1:10" x14ac:dyDescent="0.2">
      <c r="A46" s="21">
        <f>IF('_motor'!$B$626=0,"",'02 · Variables'!$B$47)</f>
        <v/>
      </c>
      <c r="B46" s="19">
        <f>IF('_motor'!$B$626=0,"",'02 · Variables'!$C$47)</f>
        <v/>
      </c>
      <c r="C46" s="38">
        <f>IF('_motor'!$B$626=0,"",'_motor'!$G$626)</f>
        <v/>
      </c>
      <c r="D46" s="38">
        <f>IF('_motor'!$B$626=0,"",'_motor'!$H$626)</f>
        <v/>
      </c>
      <c r="E46" s="33">
        <f>IF(OR('_motor'!$B$626=0,'_motor'!$B$674=0),"",'_motor'!$G$626/'_motor'!$B$674)</f>
        <v/>
      </c>
      <c r="F46" s="33">
        <f>IF(OR('_motor'!$B$626=0,'_motor'!$B$674=0),"",'_motor'!$H$626/'_motor'!$B$674)</f>
        <v/>
      </c>
      <c r="G46" s="22">
        <f>IF('_motor'!$B$626=0,"",SUMPRODUCT('_motor'!$B$586:$B$665*('_motor'!$G$586:$G$665&gt;'_motor'!$G$626))+(SUMPRODUCT('_motor'!$B$586:$B$665*('_motor'!$G$586:$G$665='_motor'!$G$626))+1)/2)</f>
        <v/>
      </c>
      <c r="H46" s="22">
        <f>IF('_motor'!$B$626=0,"",SUMPRODUCT('_motor'!$B$586:$B$665*('_motor'!$H$586:$H$665&gt;'_motor'!$H$626))+(SUMPRODUCT('_motor'!$B$586:$B$665*('_motor'!$H$586:$H$665='_motor'!$H$626))+1)/2)</f>
        <v/>
      </c>
      <c r="I46" s="19">
        <f>IF('_motor'!$B$626=0,"",IF(AND(ABS('_motor'!$G$626-'_motor'!$B$670)&lt;='_motor'!$B$678+0.000000001,ABS('_motor'!$H$626-'_motor'!$B$670)&lt;='_motor'!$B$678+0.000000001),"5 · Pelotón (no concluyente)",IF(AND('_motor'!$G$626&gt;='_motor'!$B$670,'_motor'!$H$626&lt;'_motor'!$B$670),"1 · Entrada / determinante",IF(AND('_motor'!$G$626&gt;='_motor'!$B$670,'_motor'!$H$626&gt;='_motor'!$B$670),"2 · Intermedia / de enlace",IF(AND('_motor'!$G$626&lt;'_motor'!$B$670,'_motor'!$H$626&gt;='_motor'!$B$670),"3 · Resultado","4 · Excluida / autónoma")))))</f>
        <v/>
      </c>
      <c r="J46" s="19">
        <f>IF('_motor'!$B$626=0,"",IF(AND(ABS('_motor'!$G$626-'_motor'!$B$670)&lt;='_motor'!$B$678+0.000000001,ABS('_motor'!$H$626-'_motor'!$B$670)&lt;='_motor'!$B$678+0.000000001),"Reguladora",IF(AND('_motor'!$G$626&gt;='_motor'!$B$670,'_motor'!$H$626&lt;0.5*'_motor'!$B$670),"Determinante / entorno",IF(AND('_motor'!$G$626&gt;='_motor'!$B$670,'_motor'!$H$626&lt;'_motor'!$B$670),"Palanca secundaria",IF(AND('_motor'!$G$626&gt;='_motor'!$B$670,'_motor'!$H$626&gt;='_motor'!$B$670),"Clave / de enlace",IF(AND('_motor'!$H$626&gt;='_motor'!$B$670,'_motor'!$G$626&gt;=0.5*'_motor'!$B$670),"Objetivo",IF('_motor'!$H$626&gt;='_motor'!$B$670,"Resultado","Autónoma")))))))</f>
        <v/>
      </c>
    </row>
    <row r="47" spans="1:10" x14ac:dyDescent="0.2">
      <c r="A47" s="21">
        <f>IF('_motor'!$B$627=0,"",'02 · Variables'!$B$48)</f>
        <v/>
      </c>
      <c r="B47" s="19">
        <f>IF('_motor'!$B$627=0,"",'02 · Variables'!$C$48)</f>
        <v/>
      </c>
      <c r="C47" s="38">
        <f>IF('_motor'!$B$627=0,"",'_motor'!$G$627)</f>
        <v/>
      </c>
      <c r="D47" s="38">
        <f>IF('_motor'!$B$627=0,"",'_motor'!$H$627)</f>
        <v/>
      </c>
      <c r="E47" s="33">
        <f>IF(OR('_motor'!$B$627=0,'_motor'!$B$674=0),"",'_motor'!$G$627/'_motor'!$B$674)</f>
        <v/>
      </c>
      <c r="F47" s="33">
        <f>IF(OR('_motor'!$B$627=0,'_motor'!$B$674=0),"",'_motor'!$H$627/'_motor'!$B$674)</f>
        <v/>
      </c>
      <c r="G47" s="22">
        <f>IF('_motor'!$B$627=0,"",SUMPRODUCT('_motor'!$B$586:$B$665*('_motor'!$G$586:$G$665&gt;'_motor'!$G$627))+(SUMPRODUCT('_motor'!$B$586:$B$665*('_motor'!$G$586:$G$665='_motor'!$G$627))+1)/2)</f>
        <v/>
      </c>
      <c r="H47" s="22">
        <f>IF('_motor'!$B$627=0,"",SUMPRODUCT('_motor'!$B$586:$B$665*('_motor'!$H$586:$H$665&gt;'_motor'!$H$627))+(SUMPRODUCT('_motor'!$B$586:$B$665*('_motor'!$H$586:$H$665='_motor'!$H$627))+1)/2)</f>
        <v/>
      </c>
      <c r="I47" s="19">
        <f>IF('_motor'!$B$627=0,"",IF(AND(ABS('_motor'!$G$627-'_motor'!$B$670)&lt;='_motor'!$B$678+0.000000001,ABS('_motor'!$H$627-'_motor'!$B$670)&lt;='_motor'!$B$678+0.000000001),"5 · Pelotón (no concluyente)",IF(AND('_motor'!$G$627&gt;='_motor'!$B$670,'_motor'!$H$627&lt;'_motor'!$B$670),"1 · Entrada / determinante",IF(AND('_motor'!$G$627&gt;='_motor'!$B$670,'_motor'!$H$627&gt;='_motor'!$B$670),"2 · Intermedia / de enlace",IF(AND('_motor'!$G$627&lt;'_motor'!$B$670,'_motor'!$H$627&gt;='_motor'!$B$670),"3 · Resultado","4 · Excluida / autónoma")))))</f>
        <v/>
      </c>
      <c r="J47" s="19">
        <f>IF('_motor'!$B$627=0,"",IF(AND(ABS('_motor'!$G$627-'_motor'!$B$670)&lt;='_motor'!$B$678+0.000000001,ABS('_motor'!$H$627-'_motor'!$B$670)&lt;='_motor'!$B$678+0.000000001),"Reguladora",IF(AND('_motor'!$G$627&gt;='_motor'!$B$670,'_motor'!$H$627&lt;0.5*'_motor'!$B$670),"Determinante / entorno",IF(AND('_motor'!$G$627&gt;='_motor'!$B$670,'_motor'!$H$627&lt;'_motor'!$B$670),"Palanca secundaria",IF(AND('_motor'!$G$627&gt;='_motor'!$B$670,'_motor'!$H$627&gt;='_motor'!$B$670),"Clave / de enlace",IF(AND('_motor'!$H$627&gt;='_motor'!$B$670,'_motor'!$G$627&gt;=0.5*'_motor'!$B$670),"Objetivo",IF('_motor'!$H$627&gt;='_motor'!$B$670,"Resultado","Autónoma")))))))</f>
        <v/>
      </c>
    </row>
    <row r="48" spans="1:10" x14ac:dyDescent="0.2">
      <c r="A48" s="21">
        <f>IF('_motor'!$B$628=0,"",'02 · Variables'!$B$49)</f>
        <v/>
      </c>
      <c r="B48" s="19">
        <f>IF('_motor'!$B$628=0,"",'02 · Variables'!$C$49)</f>
        <v/>
      </c>
      <c r="C48" s="38">
        <f>IF('_motor'!$B$628=0,"",'_motor'!$G$628)</f>
        <v/>
      </c>
      <c r="D48" s="38">
        <f>IF('_motor'!$B$628=0,"",'_motor'!$H$628)</f>
        <v/>
      </c>
      <c r="E48" s="33">
        <f>IF(OR('_motor'!$B$628=0,'_motor'!$B$674=0),"",'_motor'!$G$628/'_motor'!$B$674)</f>
        <v/>
      </c>
      <c r="F48" s="33">
        <f>IF(OR('_motor'!$B$628=0,'_motor'!$B$674=0),"",'_motor'!$H$628/'_motor'!$B$674)</f>
        <v/>
      </c>
      <c r="G48" s="22">
        <f>IF('_motor'!$B$628=0,"",SUMPRODUCT('_motor'!$B$586:$B$665*('_motor'!$G$586:$G$665&gt;'_motor'!$G$628))+(SUMPRODUCT('_motor'!$B$586:$B$665*('_motor'!$G$586:$G$665='_motor'!$G$628))+1)/2)</f>
        <v/>
      </c>
      <c r="H48" s="22">
        <f>IF('_motor'!$B$628=0,"",SUMPRODUCT('_motor'!$B$586:$B$665*('_motor'!$H$586:$H$665&gt;'_motor'!$H$628))+(SUMPRODUCT('_motor'!$B$586:$B$665*('_motor'!$H$586:$H$665='_motor'!$H$628))+1)/2)</f>
        <v/>
      </c>
      <c r="I48" s="19">
        <f>IF('_motor'!$B$628=0,"",IF(AND(ABS('_motor'!$G$628-'_motor'!$B$670)&lt;='_motor'!$B$678+0.000000001,ABS('_motor'!$H$628-'_motor'!$B$670)&lt;='_motor'!$B$678+0.000000001),"5 · Pelotón (no concluyente)",IF(AND('_motor'!$G$628&gt;='_motor'!$B$670,'_motor'!$H$628&lt;'_motor'!$B$670),"1 · Entrada / determinante",IF(AND('_motor'!$G$628&gt;='_motor'!$B$670,'_motor'!$H$628&gt;='_motor'!$B$670),"2 · Intermedia / de enlace",IF(AND('_motor'!$G$628&lt;'_motor'!$B$670,'_motor'!$H$628&gt;='_motor'!$B$670),"3 · Resultado","4 · Excluida / autónoma")))))</f>
        <v/>
      </c>
      <c r="J48" s="19">
        <f>IF('_motor'!$B$628=0,"",IF(AND(ABS('_motor'!$G$628-'_motor'!$B$670)&lt;='_motor'!$B$678+0.000000001,ABS('_motor'!$H$628-'_motor'!$B$670)&lt;='_motor'!$B$678+0.000000001),"Reguladora",IF(AND('_motor'!$G$628&gt;='_motor'!$B$670,'_motor'!$H$628&lt;0.5*'_motor'!$B$670),"Determinante / entorno",IF(AND('_motor'!$G$628&gt;='_motor'!$B$670,'_motor'!$H$628&lt;'_motor'!$B$670),"Palanca secundaria",IF(AND('_motor'!$G$628&gt;='_motor'!$B$670,'_motor'!$H$628&gt;='_motor'!$B$670),"Clave / de enlace",IF(AND('_motor'!$H$628&gt;='_motor'!$B$670,'_motor'!$G$628&gt;=0.5*'_motor'!$B$670),"Objetivo",IF('_motor'!$H$628&gt;='_motor'!$B$670,"Resultado","Autónoma")))))))</f>
        <v/>
      </c>
    </row>
    <row r="49" spans="1:10" x14ac:dyDescent="0.2">
      <c r="A49" s="21">
        <f>IF('_motor'!$B$629=0,"",'02 · Variables'!$B$50)</f>
        <v/>
      </c>
      <c r="B49" s="19">
        <f>IF('_motor'!$B$629=0,"",'02 · Variables'!$C$50)</f>
        <v/>
      </c>
      <c r="C49" s="38">
        <f>IF('_motor'!$B$629=0,"",'_motor'!$G$629)</f>
        <v/>
      </c>
      <c r="D49" s="38">
        <f>IF('_motor'!$B$629=0,"",'_motor'!$H$629)</f>
        <v/>
      </c>
      <c r="E49" s="33">
        <f>IF(OR('_motor'!$B$629=0,'_motor'!$B$674=0),"",'_motor'!$G$629/'_motor'!$B$674)</f>
        <v/>
      </c>
      <c r="F49" s="33">
        <f>IF(OR('_motor'!$B$629=0,'_motor'!$B$674=0),"",'_motor'!$H$629/'_motor'!$B$674)</f>
        <v/>
      </c>
      <c r="G49" s="22">
        <f>IF('_motor'!$B$629=0,"",SUMPRODUCT('_motor'!$B$586:$B$665*('_motor'!$G$586:$G$665&gt;'_motor'!$G$629))+(SUMPRODUCT('_motor'!$B$586:$B$665*('_motor'!$G$586:$G$665='_motor'!$G$629))+1)/2)</f>
        <v/>
      </c>
      <c r="H49" s="22">
        <f>IF('_motor'!$B$629=0,"",SUMPRODUCT('_motor'!$B$586:$B$665*('_motor'!$H$586:$H$665&gt;'_motor'!$H$629))+(SUMPRODUCT('_motor'!$B$586:$B$665*('_motor'!$H$586:$H$665='_motor'!$H$629))+1)/2)</f>
        <v/>
      </c>
      <c r="I49" s="19">
        <f>IF('_motor'!$B$629=0,"",IF(AND(ABS('_motor'!$G$629-'_motor'!$B$670)&lt;='_motor'!$B$678+0.000000001,ABS('_motor'!$H$629-'_motor'!$B$670)&lt;='_motor'!$B$678+0.000000001),"5 · Pelotón (no concluyente)",IF(AND('_motor'!$G$629&gt;='_motor'!$B$670,'_motor'!$H$629&lt;'_motor'!$B$670),"1 · Entrada / determinante",IF(AND('_motor'!$G$629&gt;='_motor'!$B$670,'_motor'!$H$629&gt;='_motor'!$B$670),"2 · Intermedia / de enlace",IF(AND('_motor'!$G$629&lt;'_motor'!$B$670,'_motor'!$H$629&gt;='_motor'!$B$670),"3 · Resultado","4 · Excluida / autónoma")))))</f>
        <v/>
      </c>
      <c r="J49" s="19">
        <f>IF('_motor'!$B$629=0,"",IF(AND(ABS('_motor'!$G$629-'_motor'!$B$670)&lt;='_motor'!$B$678+0.000000001,ABS('_motor'!$H$629-'_motor'!$B$670)&lt;='_motor'!$B$678+0.000000001),"Reguladora",IF(AND('_motor'!$G$629&gt;='_motor'!$B$670,'_motor'!$H$629&lt;0.5*'_motor'!$B$670),"Determinante / entorno",IF(AND('_motor'!$G$629&gt;='_motor'!$B$670,'_motor'!$H$629&lt;'_motor'!$B$670),"Palanca secundaria",IF(AND('_motor'!$G$629&gt;='_motor'!$B$670,'_motor'!$H$629&gt;='_motor'!$B$670),"Clave / de enlace",IF(AND('_motor'!$H$629&gt;='_motor'!$B$670,'_motor'!$G$629&gt;=0.5*'_motor'!$B$670),"Objetivo",IF('_motor'!$H$629&gt;='_motor'!$B$670,"Resultado","Autónoma")))))))</f>
        <v/>
      </c>
    </row>
    <row r="50" spans="1:10" x14ac:dyDescent="0.2">
      <c r="A50" s="21">
        <f>IF('_motor'!$B$630=0,"",'02 · Variables'!$B$51)</f>
        <v/>
      </c>
      <c r="B50" s="19">
        <f>IF('_motor'!$B$630=0,"",'02 · Variables'!$C$51)</f>
        <v/>
      </c>
      <c r="C50" s="38">
        <f>IF('_motor'!$B$630=0,"",'_motor'!$G$630)</f>
        <v/>
      </c>
      <c r="D50" s="38">
        <f>IF('_motor'!$B$630=0,"",'_motor'!$H$630)</f>
        <v/>
      </c>
      <c r="E50" s="33">
        <f>IF(OR('_motor'!$B$630=0,'_motor'!$B$674=0),"",'_motor'!$G$630/'_motor'!$B$674)</f>
        <v/>
      </c>
      <c r="F50" s="33">
        <f>IF(OR('_motor'!$B$630=0,'_motor'!$B$674=0),"",'_motor'!$H$630/'_motor'!$B$674)</f>
        <v/>
      </c>
      <c r="G50" s="22">
        <f>IF('_motor'!$B$630=0,"",SUMPRODUCT('_motor'!$B$586:$B$665*('_motor'!$G$586:$G$665&gt;'_motor'!$G$630))+(SUMPRODUCT('_motor'!$B$586:$B$665*('_motor'!$G$586:$G$665='_motor'!$G$630))+1)/2)</f>
        <v/>
      </c>
      <c r="H50" s="22">
        <f>IF('_motor'!$B$630=0,"",SUMPRODUCT('_motor'!$B$586:$B$665*('_motor'!$H$586:$H$665&gt;'_motor'!$H$630))+(SUMPRODUCT('_motor'!$B$586:$B$665*('_motor'!$H$586:$H$665='_motor'!$H$630))+1)/2)</f>
        <v/>
      </c>
      <c r="I50" s="19">
        <f>IF('_motor'!$B$630=0,"",IF(AND(ABS('_motor'!$G$630-'_motor'!$B$670)&lt;='_motor'!$B$678+0.000000001,ABS('_motor'!$H$630-'_motor'!$B$670)&lt;='_motor'!$B$678+0.000000001),"5 · Pelotón (no concluyente)",IF(AND('_motor'!$G$630&gt;='_motor'!$B$670,'_motor'!$H$630&lt;'_motor'!$B$670),"1 · Entrada / determinante",IF(AND('_motor'!$G$630&gt;='_motor'!$B$670,'_motor'!$H$630&gt;='_motor'!$B$670),"2 · Intermedia / de enlace",IF(AND('_motor'!$G$630&lt;'_motor'!$B$670,'_motor'!$H$630&gt;='_motor'!$B$670),"3 · Resultado","4 · Excluida / autónoma")))))</f>
        <v/>
      </c>
      <c r="J50" s="19">
        <f>IF('_motor'!$B$630=0,"",IF(AND(ABS('_motor'!$G$630-'_motor'!$B$670)&lt;='_motor'!$B$678+0.000000001,ABS('_motor'!$H$630-'_motor'!$B$670)&lt;='_motor'!$B$678+0.000000001),"Reguladora",IF(AND('_motor'!$G$630&gt;='_motor'!$B$670,'_motor'!$H$630&lt;0.5*'_motor'!$B$670),"Determinante / entorno",IF(AND('_motor'!$G$630&gt;='_motor'!$B$670,'_motor'!$H$630&lt;'_motor'!$B$670),"Palanca secundaria",IF(AND('_motor'!$G$630&gt;='_motor'!$B$670,'_motor'!$H$630&gt;='_motor'!$B$670),"Clave / de enlace",IF(AND('_motor'!$H$630&gt;='_motor'!$B$670,'_motor'!$G$630&gt;=0.5*'_motor'!$B$670),"Objetivo",IF('_motor'!$H$630&gt;='_motor'!$B$670,"Resultado","Autónoma")))))))</f>
        <v/>
      </c>
    </row>
    <row r="51" spans="1:10" x14ac:dyDescent="0.2">
      <c r="A51" s="21">
        <f>IF('_motor'!$B$631=0,"",'02 · Variables'!$B$52)</f>
        <v/>
      </c>
      <c r="B51" s="19">
        <f>IF('_motor'!$B$631=0,"",'02 · Variables'!$C$52)</f>
        <v/>
      </c>
      <c r="C51" s="38">
        <f>IF('_motor'!$B$631=0,"",'_motor'!$G$631)</f>
        <v/>
      </c>
      <c r="D51" s="38">
        <f>IF('_motor'!$B$631=0,"",'_motor'!$H$631)</f>
        <v/>
      </c>
      <c r="E51" s="33">
        <f>IF(OR('_motor'!$B$631=0,'_motor'!$B$674=0),"",'_motor'!$G$631/'_motor'!$B$674)</f>
        <v/>
      </c>
      <c r="F51" s="33">
        <f>IF(OR('_motor'!$B$631=0,'_motor'!$B$674=0),"",'_motor'!$H$631/'_motor'!$B$674)</f>
        <v/>
      </c>
      <c r="G51" s="22">
        <f>IF('_motor'!$B$631=0,"",SUMPRODUCT('_motor'!$B$586:$B$665*('_motor'!$G$586:$G$665&gt;'_motor'!$G$631))+(SUMPRODUCT('_motor'!$B$586:$B$665*('_motor'!$G$586:$G$665='_motor'!$G$631))+1)/2)</f>
        <v/>
      </c>
      <c r="H51" s="22">
        <f>IF('_motor'!$B$631=0,"",SUMPRODUCT('_motor'!$B$586:$B$665*('_motor'!$H$586:$H$665&gt;'_motor'!$H$631))+(SUMPRODUCT('_motor'!$B$586:$B$665*('_motor'!$H$586:$H$665='_motor'!$H$631))+1)/2)</f>
        <v/>
      </c>
      <c r="I51" s="19">
        <f>IF('_motor'!$B$631=0,"",IF(AND(ABS('_motor'!$G$631-'_motor'!$B$670)&lt;='_motor'!$B$678+0.000000001,ABS('_motor'!$H$631-'_motor'!$B$670)&lt;='_motor'!$B$678+0.000000001),"5 · Pelotón (no concluyente)",IF(AND('_motor'!$G$631&gt;='_motor'!$B$670,'_motor'!$H$631&lt;'_motor'!$B$670),"1 · Entrada / determinante",IF(AND('_motor'!$G$631&gt;='_motor'!$B$670,'_motor'!$H$631&gt;='_motor'!$B$670),"2 · Intermedia / de enlace",IF(AND('_motor'!$G$631&lt;'_motor'!$B$670,'_motor'!$H$631&gt;='_motor'!$B$670),"3 · Resultado","4 · Excluida / autónoma")))))</f>
        <v/>
      </c>
      <c r="J51" s="19">
        <f>IF('_motor'!$B$631=0,"",IF(AND(ABS('_motor'!$G$631-'_motor'!$B$670)&lt;='_motor'!$B$678+0.000000001,ABS('_motor'!$H$631-'_motor'!$B$670)&lt;='_motor'!$B$678+0.000000001),"Reguladora",IF(AND('_motor'!$G$631&gt;='_motor'!$B$670,'_motor'!$H$631&lt;0.5*'_motor'!$B$670),"Determinante / entorno",IF(AND('_motor'!$G$631&gt;='_motor'!$B$670,'_motor'!$H$631&lt;'_motor'!$B$670),"Palanca secundaria",IF(AND('_motor'!$G$631&gt;='_motor'!$B$670,'_motor'!$H$631&gt;='_motor'!$B$670),"Clave / de enlace",IF(AND('_motor'!$H$631&gt;='_motor'!$B$670,'_motor'!$G$631&gt;=0.5*'_motor'!$B$670),"Objetivo",IF('_motor'!$H$631&gt;='_motor'!$B$670,"Resultado","Autónoma")))))))</f>
        <v/>
      </c>
    </row>
    <row r="52" spans="1:10" x14ac:dyDescent="0.2">
      <c r="A52" s="21">
        <f>IF('_motor'!$B$632=0,"",'02 · Variables'!$B$53)</f>
        <v/>
      </c>
      <c r="B52" s="19">
        <f>IF('_motor'!$B$632=0,"",'02 · Variables'!$C$53)</f>
        <v/>
      </c>
      <c r="C52" s="38">
        <f>IF('_motor'!$B$632=0,"",'_motor'!$G$632)</f>
        <v/>
      </c>
      <c r="D52" s="38">
        <f>IF('_motor'!$B$632=0,"",'_motor'!$H$632)</f>
        <v/>
      </c>
      <c r="E52" s="33">
        <f>IF(OR('_motor'!$B$632=0,'_motor'!$B$674=0),"",'_motor'!$G$632/'_motor'!$B$674)</f>
        <v/>
      </c>
      <c r="F52" s="33">
        <f>IF(OR('_motor'!$B$632=0,'_motor'!$B$674=0),"",'_motor'!$H$632/'_motor'!$B$674)</f>
        <v/>
      </c>
      <c r="G52" s="22">
        <f>IF('_motor'!$B$632=0,"",SUMPRODUCT('_motor'!$B$586:$B$665*('_motor'!$G$586:$G$665&gt;'_motor'!$G$632))+(SUMPRODUCT('_motor'!$B$586:$B$665*('_motor'!$G$586:$G$665='_motor'!$G$632))+1)/2)</f>
        <v/>
      </c>
      <c r="H52" s="22">
        <f>IF('_motor'!$B$632=0,"",SUMPRODUCT('_motor'!$B$586:$B$665*('_motor'!$H$586:$H$665&gt;'_motor'!$H$632))+(SUMPRODUCT('_motor'!$B$586:$B$665*('_motor'!$H$586:$H$665='_motor'!$H$632))+1)/2)</f>
        <v/>
      </c>
      <c r="I52" s="19">
        <f>IF('_motor'!$B$632=0,"",IF(AND(ABS('_motor'!$G$632-'_motor'!$B$670)&lt;='_motor'!$B$678+0.000000001,ABS('_motor'!$H$632-'_motor'!$B$670)&lt;='_motor'!$B$678+0.000000001),"5 · Pelotón (no concluyente)",IF(AND('_motor'!$G$632&gt;='_motor'!$B$670,'_motor'!$H$632&lt;'_motor'!$B$670),"1 · Entrada / determinante",IF(AND('_motor'!$G$632&gt;='_motor'!$B$670,'_motor'!$H$632&gt;='_motor'!$B$670),"2 · Intermedia / de enlace",IF(AND('_motor'!$G$632&lt;'_motor'!$B$670,'_motor'!$H$632&gt;='_motor'!$B$670),"3 · Resultado","4 · Excluida / autónoma")))))</f>
        <v/>
      </c>
      <c r="J52" s="19">
        <f>IF('_motor'!$B$632=0,"",IF(AND(ABS('_motor'!$G$632-'_motor'!$B$670)&lt;='_motor'!$B$678+0.000000001,ABS('_motor'!$H$632-'_motor'!$B$670)&lt;='_motor'!$B$678+0.000000001),"Reguladora",IF(AND('_motor'!$G$632&gt;='_motor'!$B$670,'_motor'!$H$632&lt;0.5*'_motor'!$B$670),"Determinante / entorno",IF(AND('_motor'!$G$632&gt;='_motor'!$B$670,'_motor'!$H$632&lt;'_motor'!$B$670),"Palanca secundaria",IF(AND('_motor'!$G$632&gt;='_motor'!$B$670,'_motor'!$H$632&gt;='_motor'!$B$670),"Clave / de enlace",IF(AND('_motor'!$H$632&gt;='_motor'!$B$670,'_motor'!$G$632&gt;=0.5*'_motor'!$B$670),"Objetivo",IF('_motor'!$H$632&gt;='_motor'!$B$670,"Resultado","Autónoma")))))))</f>
        <v/>
      </c>
    </row>
    <row r="53" spans="1:10" x14ac:dyDescent="0.2">
      <c r="A53" s="21">
        <f>IF('_motor'!$B$633=0,"",'02 · Variables'!$B$54)</f>
        <v/>
      </c>
      <c r="B53" s="19">
        <f>IF('_motor'!$B$633=0,"",'02 · Variables'!$C$54)</f>
        <v/>
      </c>
      <c r="C53" s="38">
        <f>IF('_motor'!$B$633=0,"",'_motor'!$G$633)</f>
        <v/>
      </c>
      <c r="D53" s="38">
        <f>IF('_motor'!$B$633=0,"",'_motor'!$H$633)</f>
        <v/>
      </c>
      <c r="E53" s="33">
        <f>IF(OR('_motor'!$B$633=0,'_motor'!$B$674=0),"",'_motor'!$G$633/'_motor'!$B$674)</f>
        <v/>
      </c>
      <c r="F53" s="33">
        <f>IF(OR('_motor'!$B$633=0,'_motor'!$B$674=0),"",'_motor'!$H$633/'_motor'!$B$674)</f>
        <v/>
      </c>
      <c r="G53" s="22">
        <f>IF('_motor'!$B$633=0,"",SUMPRODUCT('_motor'!$B$586:$B$665*('_motor'!$G$586:$G$665&gt;'_motor'!$G$633))+(SUMPRODUCT('_motor'!$B$586:$B$665*('_motor'!$G$586:$G$665='_motor'!$G$633))+1)/2)</f>
        <v/>
      </c>
      <c r="H53" s="22">
        <f>IF('_motor'!$B$633=0,"",SUMPRODUCT('_motor'!$B$586:$B$665*('_motor'!$H$586:$H$665&gt;'_motor'!$H$633))+(SUMPRODUCT('_motor'!$B$586:$B$665*('_motor'!$H$586:$H$665='_motor'!$H$633))+1)/2)</f>
        <v/>
      </c>
      <c r="I53" s="19">
        <f>IF('_motor'!$B$633=0,"",IF(AND(ABS('_motor'!$G$633-'_motor'!$B$670)&lt;='_motor'!$B$678+0.000000001,ABS('_motor'!$H$633-'_motor'!$B$670)&lt;='_motor'!$B$678+0.000000001),"5 · Pelotón (no concluyente)",IF(AND('_motor'!$G$633&gt;='_motor'!$B$670,'_motor'!$H$633&lt;'_motor'!$B$670),"1 · Entrada / determinante",IF(AND('_motor'!$G$633&gt;='_motor'!$B$670,'_motor'!$H$633&gt;='_motor'!$B$670),"2 · Intermedia / de enlace",IF(AND('_motor'!$G$633&lt;'_motor'!$B$670,'_motor'!$H$633&gt;='_motor'!$B$670),"3 · Resultado","4 · Excluida / autónoma")))))</f>
        <v/>
      </c>
      <c r="J53" s="19">
        <f>IF('_motor'!$B$633=0,"",IF(AND(ABS('_motor'!$G$633-'_motor'!$B$670)&lt;='_motor'!$B$678+0.000000001,ABS('_motor'!$H$633-'_motor'!$B$670)&lt;='_motor'!$B$678+0.000000001),"Reguladora",IF(AND('_motor'!$G$633&gt;='_motor'!$B$670,'_motor'!$H$633&lt;0.5*'_motor'!$B$670),"Determinante / entorno",IF(AND('_motor'!$G$633&gt;='_motor'!$B$670,'_motor'!$H$633&lt;'_motor'!$B$670),"Palanca secundaria",IF(AND('_motor'!$G$633&gt;='_motor'!$B$670,'_motor'!$H$633&gt;='_motor'!$B$670),"Clave / de enlace",IF(AND('_motor'!$H$633&gt;='_motor'!$B$670,'_motor'!$G$633&gt;=0.5*'_motor'!$B$670),"Objetivo",IF('_motor'!$H$633&gt;='_motor'!$B$670,"Resultado","Autónoma")))))))</f>
        <v/>
      </c>
    </row>
    <row r="54" spans="1:10" x14ac:dyDescent="0.2">
      <c r="A54" s="21">
        <f>IF('_motor'!$B$634=0,"",'02 · Variables'!$B$55)</f>
        <v/>
      </c>
      <c r="B54" s="19">
        <f>IF('_motor'!$B$634=0,"",'02 · Variables'!$C$55)</f>
        <v/>
      </c>
      <c r="C54" s="38">
        <f>IF('_motor'!$B$634=0,"",'_motor'!$G$634)</f>
        <v/>
      </c>
      <c r="D54" s="38">
        <f>IF('_motor'!$B$634=0,"",'_motor'!$H$634)</f>
        <v/>
      </c>
      <c r="E54" s="33">
        <f>IF(OR('_motor'!$B$634=0,'_motor'!$B$674=0),"",'_motor'!$G$634/'_motor'!$B$674)</f>
        <v/>
      </c>
      <c r="F54" s="33">
        <f>IF(OR('_motor'!$B$634=0,'_motor'!$B$674=0),"",'_motor'!$H$634/'_motor'!$B$674)</f>
        <v/>
      </c>
      <c r="G54" s="22">
        <f>IF('_motor'!$B$634=0,"",SUMPRODUCT('_motor'!$B$586:$B$665*('_motor'!$G$586:$G$665&gt;'_motor'!$G$634))+(SUMPRODUCT('_motor'!$B$586:$B$665*('_motor'!$G$586:$G$665='_motor'!$G$634))+1)/2)</f>
        <v/>
      </c>
      <c r="H54" s="22">
        <f>IF('_motor'!$B$634=0,"",SUMPRODUCT('_motor'!$B$586:$B$665*('_motor'!$H$586:$H$665&gt;'_motor'!$H$634))+(SUMPRODUCT('_motor'!$B$586:$B$665*('_motor'!$H$586:$H$665='_motor'!$H$634))+1)/2)</f>
        <v/>
      </c>
      <c r="I54" s="19">
        <f>IF('_motor'!$B$634=0,"",IF(AND(ABS('_motor'!$G$634-'_motor'!$B$670)&lt;='_motor'!$B$678+0.000000001,ABS('_motor'!$H$634-'_motor'!$B$670)&lt;='_motor'!$B$678+0.000000001),"5 · Pelotón (no concluyente)",IF(AND('_motor'!$G$634&gt;='_motor'!$B$670,'_motor'!$H$634&lt;'_motor'!$B$670),"1 · Entrada / determinante",IF(AND('_motor'!$G$634&gt;='_motor'!$B$670,'_motor'!$H$634&gt;='_motor'!$B$670),"2 · Intermedia / de enlace",IF(AND('_motor'!$G$634&lt;'_motor'!$B$670,'_motor'!$H$634&gt;='_motor'!$B$670),"3 · Resultado","4 · Excluida / autónoma")))))</f>
        <v/>
      </c>
      <c r="J54" s="19">
        <f>IF('_motor'!$B$634=0,"",IF(AND(ABS('_motor'!$G$634-'_motor'!$B$670)&lt;='_motor'!$B$678+0.000000001,ABS('_motor'!$H$634-'_motor'!$B$670)&lt;='_motor'!$B$678+0.000000001),"Reguladora",IF(AND('_motor'!$G$634&gt;='_motor'!$B$670,'_motor'!$H$634&lt;0.5*'_motor'!$B$670),"Determinante / entorno",IF(AND('_motor'!$G$634&gt;='_motor'!$B$670,'_motor'!$H$634&lt;'_motor'!$B$670),"Palanca secundaria",IF(AND('_motor'!$G$634&gt;='_motor'!$B$670,'_motor'!$H$634&gt;='_motor'!$B$670),"Clave / de enlace",IF(AND('_motor'!$H$634&gt;='_motor'!$B$670,'_motor'!$G$634&gt;=0.5*'_motor'!$B$670),"Objetivo",IF('_motor'!$H$634&gt;='_motor'!$B$670,"Resultado","Autónoma")))))))</f>
        <v/>
      </c>
    </row>
    <row r="55" spans="1:10" x14ac:dyDescent="0.2">
      <c r="A55" s="21">
        <f>IF('_motor'!$B$635=0,"",'02 · Variables'!$B$56)</f>
        <v/>
      </c>
      <c r="B55" s="19">
        <f>IF('_motor'!$B$635=0,"",'02 · Variables'!$C$56)</f>
        <v/>
      </c>
      <c r="C55" s="38">
        <f>IF('_motor'!$B$635=0,"",'_motor'!$G$635)</f>
        <v/>
      </c>
      <c r="D55" s="38">
        <f>IF('_motor'!$B$635=0,"",'_motor'!$H$635)</f>
        <v/>
      </c>
      <c r="E55" s="33">
        <f>IF(OR('_motor'!$B$635=0,'_motor'!$B$674=0),"",'_motor'!$G$635/'_motor'!$B$674)</f>
        <v/>
      </c>
      <c r="F55" s="33">
        <f>IF(OR('_motor'!$B$635=0,'_motor'!$B$674=0),"",'_motor'!$H$635/'_motor'!$B$674)</f>
        <v/>
      </c>
      <c r="G55" s="22">
        <f>IF('_motor'!$B$635=0,"",SUMPRODUCT('_motor'!$B$586:$B$665*('_motor'!$G$586:$G$665&gt;'_motor'!$G$635))+(SUMPRODUCT('_motor'!$B$586:$B$665*('_motor'!$G$586:$G$665='_motor'!$G$635))+1)/2)</f>
        <v/>
      </c>
      <c r="H55" s="22">
        <f>IF('_motor'!$B$635=0,"",SUMPRODUCT('_motor'!$B$586:$B$665*('_motor'!$H$586:$H$665&gt;'_motor'!$H$635))+(SUMPRODUCT('_motor'!$B$586:$B$665*('_motor'!$H$586:$H$665='_motor'!$H$635))+1)/2)</f>
        <v/>
      </c>
      <c r="I55" s="19">
        <f>IF('_motor'!$B$635=0,"",IF(AND(ABS('_motor'!$G$635-'_motor'!$B$670)&lt;='_motor'!$B$678+0.000000001,ABS('_motor'!$H$635-'_motor'!$B$670)&lt;='_motor'!$B$678+0.000000001),"5 · Pelotón (no concluyente)",IF(AND('_motor'!$G$635&gt;='_motor'!$B$670,'_motor'!$H$635&lt;'_motor'!$B$670),"1 · Entrada / determinante",IF(AND('_motor'!$G$635&gt;='_motor'!$B$670,'_motor'!$H$635&gt;='_motor'!$B$670),"2 · Intermedia / de enlace",IF(AND('_motor'!$G$635&lt;'_motor'!$B$670,'_motor'!$H$635&gt;='_motor'!$B$670),"3 · Resultado","4 · Excluida / autónoma")))))</f>
        <v/>
      </c>
      <c r="J55" s="19">
        <f>IF('_motor'!$B$635=0,"",IF(AND(ABS('_motor'!$G$635-'_motor'!$B$670)&lt;='_motor'!$B$678+0.000000001,ABS('_motor'!$H$635-'_motor'!$B$670)&lt;='_motor'!$B$678+0.000000001),"Reguladora",IF(AND('_motor'!$G$635&gt;='_motor'!$B$670,'_motor'!$H$635&lt;0.5*'_motor'!$B$670),"Determinante / entorno",IF(AND('_motor'!$G$635&gt;='_motor'!$B$670,'_motor'!$H$635&lt;'_motor'!$B$670),"Palanca secundaria",IF(AND('_motor'!$G$635&gt;='_motor'!$B$670,'_motor'!$H$635&gt;='_motor'!$B$670),"Clave / de enlace",IF(AND('_motor'!$H$635&gt;='_motor'!$B$670,'_motor'!$G$635&gt;=0.5*'_motor'!$B$670),"Objetivo",IF('_motor'!$H$635&gt;='_motor'!$B$670,"Resultado","Autónoma")))))))</f>
        <v/>
      </c>
    </row>
    <row r="56" spans="1:10" x14ac:dyDescent="0.2">
      <c r="A56" s="21">
        <f>IF('_motor'!$B$636=0,"",'02 · Variables'!$B$57)</f>
        <v/>
      </c>
      <c r="B56" s="19">
        <f>IF('_motor'!$B$636=0,"",'02 · Variables'!$C$57)</f>
        <v/>
      </c>
      <c r="C56" s="38">
        <f>IF('_motor'!$B$636=0,"",'_motor'!$G$636)</f>
        <v/>
      </c>
      <c r="D56" s="38">
        <f>IF('_motor'!$B$636=0,"",'_motor'!$H$636)</f>
        <v/>
      </c>
      <c r="E56" s="33">
        <f>IF(OR('_motor'!$B$636=0,'_motor'!$B$674=0),"",'_motor'!$G$636/'_motor'!$B$674)</f>
        <v/>
      </c>
      <c r="F56" s="33">
        <f>IF(OR('_motor'!$B$636=0,'_motor'!$B$674=0),"",'_motor'!$H$636/'_motor'!$B$674)</f>
        <v/>
      </c>
      <c r="G56" s="22">
        <f>IF('_motor'!$B$636=0,"",SUMPRODUCT('_motor'!$B$586:$B$665*('_motor'!$G$586:$G$665&gt;'_motor'!$G$636))+(SUMPRODUCT('_motor'!$B$586:$B$665*('_motor'!$G$586:$G$665='_motor'!$G$636))+1)/2)</f>
        <v/>
      </c>
      <c r="H56" s="22">
        <f>IF('_motor'!$B$636=0,"",SUMPRODUCT('_motor'!$B$586:$B$665*('_motor'!$H$586:$H$665&gt;'_motor'!$H$636))+(SUMPRODUCT('_motor'!$B$586:$B$665*('_motor'!$H$586:$H$665='_motor'!$H$636))+1)/2)</f>
        <v/>
      </c>
      <c r="I56" s="19">
        <f>IF('_motor'!$B$636=0,"",IF(AND(ABS('_motor'!$G$636-'_motor'!$B$670)&lt;='_motor'!$B$678+0.000000001,ABS('_motor'!$H$636-'_motor'!$B$670)&lt;='_motor'!$B$678+0.000000001),"5 · Pelotón (no concluyente)",IF(AND('_motor'!$G$636&gt;='_motor'!$B$670,'_motor'!$H$636&lt;'_motor'!$B$670),"1 · Entrada / determinante",IF(AND('_motor'!$G$636&gt;='_motor'!$B$670,'_motor'!$H$636&gt;='_motor'!$B$670),"2 · Intermedia / de enlace",IF(AND('_motor'!$G$636&lt;'_motor'!$B$670,'_motor'!$H$636&gt;='_motor'!$B$670),"3 · Resultado","4 · Excluida / autónoma")))))</f>
        <v/>
      </c>
      <c r="J56" s="19">
        <f>IF('_motor'!$B$636=0,"",IF(AND(ABS('_motor'!$G$636-'_motor'!$B$670)&lt;='_motor'!$B$678+0.000000001,ABS('_motor'!$H$636-'_motor'!$B$670)&lt;='_motor'!$B$678+0.000000001),"Reguladora",IF(AND('_motor'!$G$636&gt;='_motor'!$B$670,'_motor'!$H$636&lt;0.5*'_motor'!$B$670),"Determinante / entorno",IF(AND('_motor'!$G$636&gt;='_motor'!$B$670,'_motor'!$H$636&lt;'_motor'!$B$670),"Palanca secundaria",IF(AND('_motor'!$G$636&gt;='_motor'!$B$670,'_motor'!$H$636&gt;='_motor'!$B$670),"Clave / de enlace",IF(AND('_motor'!$H$636&gt;='_motor'!$B$670,'_motor'!$G$636&gt;=0.5*'_motor'!$B$670),"Objetivo",IF('_motor'!$H$636&gt;='_motor'!$B$670,"Resultado","Autónoma")))))))</f>
        <v/>
      </c>
    </row>
    <row r="57" spans="1:10" x14ac:dyDescent="0.2">
      <c r="A57" s="21">
        <f>IF('_motor'!$B$637=0,"",'02 · Variables'!$B$58)</f>
        <v/>
      </c>
      <c r="B57" s="19">
        <f>IF('_motor'!$B$637=0,"",'02 · Variables'!$C$58)</f>
        <v/>
      </c>
      <c r="C57" s="38">
        <f>IF('_motor'!$B$637=0,"",'_motor'!$G$637)</f>
        <v/>
      </c>
      <c r="D57" s="38">
        <f>IF('_motor'!$B$637=0,"",'_motor'!$H$637)</f>
        <v/>
      </c>
      <c r="E57" s="33">
        <f>IF(OR('_motor'!$B$637=0,'_motor'!$B$674=0),"",'_motor'!$G$637/'_motor'!$B$674)</f>
        <v/>
      </c>
      <c r="F57" s="33">
        <f>IF(OR('_motor'!$B$637=0,'_motor'!$B$674=0),"",'_motor'!$H$637/'_motor'!$B$674)</f>
        <v/>
      </c>
      <c r="G57" s="22">
        <f>IF('_motor'!$B$637=0,"",SUMPRODUCT('_motor'!$B$586:$B$665*('_motor'!$G$586:$G$665&gt;'_motor'!$G$637))+(SUMPRODUCT('_motor'!$B$586:$B$665*('_motor'!$G$586:$G$665='_motor'!$G$637))+1)/2)</f>
        <v/>
      </c>
      <c r="H57" s="22">
        <f>IF('_motor'!$B$637=0,"",SUMPRODUCT('_motor'!$B$586:$B$665*('_motor'!$H$586:$H$665&gt;'_motor'!$H$637))+(SUMPRODUCT('_motor'!$B$586:$B$665*('_motor'!$H$586:$H$665='_motor'!$H$637))+1)/2)</f>
        <v/>
      </c>
      <c r="I57" s="19">
        <f>IF('_motor'!$B$637=0,"",IF(AND(ABS('_motor'!$G$637-'_motor'!$B$670)&lt;='_motor'!$B$678+0.000000001,ABS('_motor'!$H$637-'_motor'!$B$670)&lt;='_motor'!$B$678+0.000000001),"5 · Pelotón (no concluyente)",IF(AND('_motor'!$G$637&gt;='_motor'!$B$670,'_motor'!$H$637&lt;'_motor'!$B$670),"1 · Entrada / determinante",IF(AND('_motor'!$G$637&gt;='_motor'!$B$670,'_motor'!$H$637&gt;='_motor'!$B$670),"2 · Intermedia / de enlace",IF(AND('_motor'!$G$637&lt;'_motor'!$B$670,'_motor'!$H$637&gt;='_motor'!$B$670),"3 · Resultado","4 · Excluida / autónoma")))))</f>
        <v/>
      </c>
      <c r="J57" s="19">
        <f>IF('_motor'!$B$637=0,"",IF(AND(ABS('_motor'!$G$637-'_motor'!$B$670)&lt;='_motor'!$B$678+0.000000001,ABS('_motor'!$H$637-'_motor'!$B$670)&lt;='_motor'!$B$678+0.000000001),"Reguladora",IF(AND('_motor'!$G$637&gt;='_motor'!$B$670,'_motor'!$H$637&lt;0.5*'_motor'!$B$670),"Determinante / entorno",IF(AND('_motor'!$G$637&gt;='_motor'!$B$670,'_motor'!$H$637&lt;'_motor'!$B$670),"Palanca secundaria",IF(AND('_motor'!$G$637&gt;='_motor'!$B$670,'_motor'!$H$637&gt;='_motor'!$B$670),"Clave / de enlace",IF(AND('_motor'!$H$637&gt;='_motor'!$B$670,'_motor'!$G$637&gt;=0.5*'_motor'!$B$670),"Objetivo",IF('_motor'!$H$637&gt;='_motor'!$B$670,"Resultado","Autónoma")))))))</f>
        <v/>
      </c>
    </row>
    <row r="58" spans="1:10" x14ac:dyDescent="0.2">
      <c r="A58" s="21">
        <f>IF('_motor'!$B$638=0,"",'02 · Variables'!$B$59)</f>
        <v/>
      </c>
      <c r="B58" s="19">
        <f>IF('_motor'!$B$638=0,"",'02 · Variables'!$C$59)</f>
        <v/>
      </c>
      <c r="C58" s="38">
        <f>IF('_motor'!$B$638=0,"",'_motor'!$G$638)</f>
        <v/>
      </c>
      <c r="D58" s="38">
        <f>IF('_motor'!$B$638=0,"",'_motor'!$H$638)</f>
        <v/>
      </c>
      <c r="E58" s="33">
        <f>IF(OR('_motor'!$B$638=0,'_motor'!$B$674=0),"",'_motor'!$G$638/'_motor'!$B$674)</f>
        <v/>
      </c>
      <c r="F58" s="33">
        <f>IF(OR('_motor'!$B$638=0,'_motor'!$B$674=0),"",'_motor'!$H$638/'_motor'!$B$674)</f>
        <v/>
      </c>
      <c r="G58" s="22">
        <f>IF('_motor'!$B$638=0,"",SUMPRODUCT('_motor'!$B$586:$B$665*('_motor'!$G$586:$G$665&gt;'_motor'!$G$638))+(SUMPRODUCT('_motor'!$B$586:$B$665*('_motor'!$G$586:$G$665='_motor'!$G$638))+1)/2)</f>
        <v/>
      </c>
      <c r="H58" s="22">
        <f>IF('_motor'!$B$638=0,"",SUMPRODUCT('_motor'!$B$586:$B$665*('_motor'!$H$586:$H$665&gt;'_motor'!$H$638))+(SUMPRODUCT('_motor'!$B$586:$B$665*('_motor'!$H$586:$H$665='_motor'!$H$638))+1)/2)</f>
        <v/>
      </c>
      <c r="I58" s="19">
        <f>IF('_motor'!$B$638=0,"",IF(AND(ABS('_motor'!$G$638-'_motor'!$B$670)&lt;='_motor'!$B$678+0.000000001,ABS('_motor'!$H$638-'_motor'!$B$670)&lt;='_motor'!$B$678+0.000000001),"5 · Pelotón (no concluyente)",IF(AND('_motor'!$G$638&gt;='_motor'!$B$670,'_motor'!$H$638&lt;'_motor'!$B$670),"1 · Entrada / determinante",IF(AND('_motor'!$G$638&gt;='_motor'!$B$670,'_motor'!$H$638&gt;='_motor'!$B$670),"2 · Intermedia / de enlace",IF(AND('_motor'!$G$638&lt;'_motor'!$B$670,'_motor'!$H$638&gt;='_motor'!$B$670),"3 · Resultado","4 · Excluida / autónoma")))))</f>
        <v/>
      </c>
      <c r="J58" s="19">
        <f>IF('_motor'!$B$638=0,"",IF(AND(ABS('_motor'!$G$638-'_motor'!$B$670)&lt;='_motor'!$B$678+0.000000001,ABS('_motor'!$H$638-'_motor'!$B$670)&lt;='_motor'!$B$678+0.000000001),"Reguladora",IF(AND('_motor'!$G$638&gt;='_motor'!$B$670,'_motor'!$H$638&lt;0.5*'_motor'!$B$670),"Determinante / entorno",IF(AND('_motor'!$G$638&gt;='_motor'!$B$670,'_motor'!$H$638&lt;'_motor'!$B$670),"Palanca secundaria",IF(AND('_motor'!$G$638&gt;='_motor'!$B$670,'_motor'!$H$638&gt;='_motor'!$B$670),"Clave / de enlace",IF(AND('_motor'!$H$638&gt;='_motor'!$B$670,'_motor'!$G$638&gt;=0.5*'_motor'!$B$670),"Objetivo",IF('_motor'!$H$638&gt;='_motor'!$B$670,"Resultado","Autónoma")))))))</f>
        <v/>
      </c>
    </row>
    <row r="59" spans="1:10" x14ac:dyDescent="0.2">
      <c r="A59" s="21">
        <f>IF('_motor'!$B$639=0,"",'02 · Variables'!$B$60)</f>
        <v/>
      </c>
      <c r="B59" s="19">
        <f>IF('_motor'!$B$639=0,"",'02 · Variables'!$C$60)</f>
        <v/>
      </c>
      <c r="C59" s="38">
        <f>IF('_motor'!$B$639=0,"",'_motor'!$G$639)</f>
        <v/>
      </c>
      <c r="D59" s="38">
        <f>IF('_motor'!$B$639=0,"",'_motor'!$H$639)</f>
        <v/>
      </c>
      <c r="E59" s="33">
        <f>IF(OR('_motor'!$B$639=0,'_motor'!$B$674=0),"",'_motor'!$G$639/'_motor'!$B$674)</f>
        <v/>
      </c>
      <c r="F59" s="33">
        <f>IF(OR('_motor'!$B$639=0,'_motor'!$B$674=0),"",'_motor'!$H$639/'_motor'!$B$674)</f>
        <v/>
      </c>
      <c r="G59" s="22">
        <f>IF('_motor'!$B$639=0,"",SUMPRODUCT('_motor'!$B$586:$B$665*('_motor'!$G$586:$G$665&gt;'_motor'!$G$639))+(SUMPRODUCT('_motor'!$B$586:$B$665*('_motor'!$G$586:$G$665='_motor'!$G$639))+1)/2)</f>
        <v/>
      </c>
      <c r="H59" s="22">
        <f>IF('_motor'!$B$639=0,"",SUMPRODUCT('_motor'!$B$586:$B$665*('_motor'!$H$586:$H$665&gt;'_motor'!$H$639))+(SUMPRODUCT('_motor'!$B$586:$B$665*('_motor'!$H$586:$H$665='_motor'!$H$639))+1)/2)</f>
        <v/>
      </c>
      <c r="I59" s="19">
        <f>IF('_motor'!$B$639=0,"",IF(AND(ABS('_motor'!$G$639-'_motor'!$B$670)&lt;='_motor'!$B$678+0.000000001,ABS('_motor'!$H$639-'_motor'!$B$670)&lt;='_motor'!$B$678+0.000000001),"5 · Pelotón (no concluyente)",IF(AND('_motor'!$G$639&gt;='_motor'!$B$670,'_motor'!$H$639&lt;'_motor'!$B$670),"1 · Entrada / determinante",IF(AND('_motor'!$G$639&gt;='_motor'!$B$670,'_motor'!$H$639&gt;='_motor'!$B$670),"2 · Intermedia / de enlace",IF(AND('_motor'!$G$639&lt;'_motor'!$B$670,'_motor'!$H$639&gt;='_motor'!$B$670),"3 · Resultado","4 · Excluida / autónoma")))))</f>
        <v/>
      </c>
      <c r="J59" s="19">
        <f>IF('_motor'!$B$639=0,"",IF(AND(ABS('_motor'!$G$639-'_motor'!$B$670)&lt;='_motor'!$B$678+0.000000001,ABS('_motor'!$H$639-'_motor'!$B$670)&lt;='_motor'!$B$678+0.000000001),"Reguladora",IF(AND('_motor'!$G$639&gt;='_motor'!$B$670,'_motor'!$H$639&lt;0.5*'_motor'!$B$670),"Determinante / entorno",IF(AND('_motor'!$G$639&gt;='_motor'!$B$670,'_motor'!$H$639&lt;'_motor'!$B$670),"Palanca secundaria",IF(AND('_motor'!$G$639&gt;='_motor'!$B$670,'_motor'!$H$639&gt;='_motor'!$B$670),"Clave / de enlace",IF(AND('_motor'!$H$639&gt;='_motor'!$B$670,'_motor'!$G$639&gt;=0.5*'_motor'!$B$670),"Objetivo",IF('_motor'!$H$639&gt;='_motor'!$B$670,"Resultado","Autónoma")))))))</f>
        <v/>
      </c>
    </row>
    <row r="60" spans="1:10" x14ac:dyDescent="0.2">
      <c r="A60" s="21">
        <f>IF('_motor'!$B$640=0,"",'02 · Variables'!$B$61)</f>
        <v/>
      </c>
      <c r="B60" s="19">
        <f>IF('_motor'!$B$640=0,"",'02 · Variables'!$C$61)</f>
        <v/>
      </c>
      <c r="C60" s="38">
        <f>IF('_motor'!$B$640=0,"",'_motor'!$G$640)</f>
        <v/>
      </c>
      <c r="D60" s="38">
        <f>IF('_motor'!$B$640=0,"",'_motor'!$H$640)</f>
        <v/>
      </c>
      <c r="E60" s="33">
        <f>IF(OR('_motor'!$B$640=0,'_motor'!$B$674=0),"",'_motor'!$G$640/'_motor'!$B$674)</f>
        <v/>
      </c>
      <c r="F60" s="33">
        <f>IF(OR('_motor'!$B$640=0,'_motor'!$B$674=0),"",'_motor'!$H$640/'_motor'!$B$674)</f>
        <v/>
      </c>
      <c r="G60" s="22">
        <f>IF('_motor'!$B$640=0,"",SUMPRODUCT('_motor'!$B$586:$B$665*('_motor'!$G$586:$G$665&gt;'_motor'!$G$640))+(SUMPRODUCT('_motor'!$B$586:$B$665*('_motor'!$G$586:$G$665='_motor'!$G$640))+1)/2)</f>
        <v/>
      </c>
      <c r="H60" s="22">
        <f>IF('_motor'!$B$640=0,"",SUMPRODUCT('_motor'!$B$586:$B$665*('_motor'!$H$586:$H$665&gt;'_motor'!$H$640))+(SUMPRODUCT('_motor'!$B$586:$B$665*('_motor'!$H$586:$H$665='_motor'!$H$640))+1)/2)</f>
        <v/>
      </c>
      <c r="I60" s="19">
        <f>IF('_motor'!$B$640=0,"",IF(AND(ABS('_motor'!$G$640-'_motor'!$B$670)&lt;='_motor'!$B$678+0.000000001,ABS('_motor'!$H$640-'_motor'!$B$670)&lt;='_motor'!$B$678+0.000000001),"5 · Pelotón (no concluyente)",IF(AND('_motor'!$G$640&gt;='_motor'!$B$670,'_motor'!$H$640&lt;'_motor'!$B$670),"1 · Entrada / determinante",IF(AND('_motor'!$G$640&gt;='_motor'!$B$670,'_motor'!$H$640&gt;='_motor'!$B$670),"2 · Intermedia / de enlace",IF(AND('_motor'!$G$640&lt;'_motor'!$B$670,'_motor'!$H$640&gt;='_motor'!$B$670),"3 · Resultado","4 · Excluida / autónoma")))))</f>
        <v/>
      </c>
      <c r="J60" s="19">
        <f>IF('_motor'!$B$640=0,"",IF(AND(ABS('_motor'!$G$640-'_motor'!$B$670)&lt;='_motor'!$B$678+0.000000001,ABS('_motor'!$H$640-'_motor'!$B$670)&lt;='_motor'!$B$678+0.000000001),"Reguladora",IF(AND('_motor'!$G$640&gt;='_motor'!$B$670,'_motor'!$H$640&lt;0.5*'_motor'!$B$670),"Determinante / entorno",IF(AND('_motor'!$G$640&gt;='_motor'!$B$670,'_motor'!$H$640&lt;'_motor'!$B$670),"Palanca secundaria",IF(AND('_motor'!$G$640&gt;='_motor'!$B$670,'_motor'!$H$640&gt;='_motor'!$B$670),"Clave / de enlace",IF(AND('_motor'!$H$640&gt;='_motor'!$B$670,'_motor'!$G$640&gt;=0.5*'_motor'!$B$670),"Objetivo",IF('_motor'!$H$640&gt;='_motor'!$B$670,"Resultado","Autónoma")))))))</f>
        <v/>
      </c>
    </row>
    <row r="61" spans="1:10" x14ac:dyDescent="0.2">
      <c r="A61" s="21">
        <f>IF('_motor'!$B$641=0,"",'02 · Variables'!$B$62)</f>
        <v/>
      </c>
      <c r="B61" s="19">
        <f>IF('_motor'!$B$641=0,"",'02 · Variables'!$C$62)</f>
        <v/>
      </c>
      <c r="C61" s="38">
        <f>IF('_motor'!$B$641=0,"",'_motor'!$G$641)</f>
        <v/>
      </c>
      <c r="D61" s="38">
        <f>IF('_motor'!$B$641=0,"",'_motor'!$H$641)</f>
        <v/>
      </c>
      <c r="E61" s="33">
        <f>IF(OR('_motor'!$B$641=0,'_motor'!$B$674=0),"",'_motor'!$G$641/'_motor'!$B$674)</f>
        <v/>
      </c>
      <c r="F61" s="33">
        <f>IF(OR('_motor'!$B$641=0,'_motor'!$B$674=0),"",'_motor'!$H$641/'_motor'!$B$674)</f>
        <v/>
      </c>
      <c r="G61" s="22">
        <f>IF('_motor'!$B$641=0,"",SUMPRODUCT('_motor'!$B$586:$B$665*('_motor'!$G$586:$G$665&gt;'_motor'!$G$641))+(SUMPRODUCT('_motor'!$B$586:$B$665*('_motor'!$G$586:$G$665='_motor'!$G$641))+1)/2)</f>
        <v/>
      </c>
      <c r="H61" s="22">
        <f>IF('_motor'!$B$641=0,"",SUMPRODUCT('_motor'!$B$586:$B$665*('_motor'!$H$586:$H$665&gt;'_motor'!$H$641))+(SUMPRODUCT('_motor'!$B$586:$B$665*('_motor'!$H$586:$H$665='_motor'!$H$641))+1)/2)</f>
        <v/>
      </c>
      <c r="I61" s="19">
        <f>IF('_motor'!$B$641=0,"",IF(AND(ABS('_motor'!$G$641-'_motor'!$B$670)&lt;='_motor'!$B$678+0.000000001,ABS('_motor'!$H$641-'_motor'!$B$670)&lt;='_motor'!$B$678+0.000000001),"5 · Pelotón (no concluyente)",IF(AND('_motor'!$G$641&gt;='_motor'!$B$670,'_motor'!$H$641&lt;'_motor'!$B$670),"1 · Entrada / determinante",IF(AND('_motor'!$G$641&gt;='_motor'!$B$670,'_motor'!$H$641&gt;='_motor'!$B$670),"2 · Intermedia / de enlace",IF(AND('_motor'!$G$641&lt;'_motor'!$B$670,'_motor'!$H$641&gt;='_motor'!$B$670),"3 · Resultado","4 · Excluida / autónoma")))))</f>
        <v/>
      </c>
      <c r="J61" s="19">
        <f>IF('_motor'!$B$641=0,"",IF(AND(ABS('_motor'!$G$641-'_motor'!$B$670)&lt;='_motor'!$B$678+0.000000001,ABS('_motor'!$H$641-'_motor'!$B$670)&lt;='_motor'!$B$678+0.000000001),"Reguladora",IF(AND('_motor'!$G$641&gt;='_motor'!$B$670,'_motor'!$H$641&lt;0.5*'_motor'!$B$670),"Determinante / entorno",IF(AND('_motor'!$G$641&gt;='_motor'!$B$670,'_motor'!$H$641&lt;'_motor'!$B$670),"Palanca secundaria",IF(AND('_motor'!$G$641&gt;='_motor'!$B$670,'_motor'!$H$641&gt;='_motor'!$B$670),"Clave / de enlace",IF(AND('_motor'!$H$641&gt;='_motor'!$B$670,'_motor'!$G$641&gt;=0.5*'_motor'!$B$670),"Objetivo",IF('_motor'!$H$641&gt;='_motor'!$B$670,"Resultado","Autónoma")))))))</f>
        <v/>
      </c>
    </row>
    <row r="62" spans="1:10" x14ac:dyDescent="0.2">
      <c r="A62" s="21">
        <f>IF('_motor'!$B$642=0,"",'02 · Variables'!$B$63)</f>
        <v/>
      </c>
      <c r="B62" s="19">
        <f>IF('_motor'!$B$642=0,"",'02 · Variables'!$C$63)</f>
        <v/>
      </c>
      <c r="C62" s="38">
        <f>IF('_motor'!$B$642=0,"",'_motor'!$G$642)</f>
        <v/>
      </c>
      <c r="D62" s="38">
        <f>IF('_motor'!$B$642=0,"",'_motor'!$H$642)</f>
        <v/>
      </c>
      <c r="E62" s="33">
        <f>IF(OR('_motor'!$B$642=0,'_motor'!$B$674=0),"",'_motor'!$G$642/'_motor'!$B$674)</f>
        <v/>
      </c>
      <c r="F62" s="33">
        <f>IF(OR('_motor'!$B$642=0,'_motor'!$B$674=0),"",'_motor'!$H$642/'_motor'!$B$674)</f>
        <v/>
      </c>
      <c r="G62" s="22">
        <f>IF('_motor'!$B$642=0,"",SUMPRODUCT('_motor'!$B$586:$B$665*('_motor'!$G$586:$G$665&gt;'_motor'!$G$642))+(SUMPRODUCT('_motor'!$B$586:$B$665*('_motor'!$G$586:$G$665='_motor'!$G$642))+1)/2)</f>
        <v/>
      </c>
      <c r="H62" s="22">
        <f>IF('_motor'!$B$642=0,"",SUMPRODUCT('_motor'!$B$586:$B$665*('_motor'!$H$586:$H$665&gt;'_motor'!$H$642))+(SUMPRODUCT('_motor'!$B$586:$B$665*('_motor'!$H$586:$H$665='_motor'!$H$642))+1)/2)</f>
        <v/>
      </c>
      <c r="I62" s="19">
        <f>IF('_motor'!$B$642=0,"",IF(AND(ABS('_motor'!$G$642-'_motor'!$B$670)&lt;='_motor'!$B$678+0.000000001,ABS('_motor'!$H$642-'_motor'!$B$670)&lt;='_motor'!$B$678+0.000000001),"5 · Pelotón (no concluyente)",IF(AND('_motor'!$G$642&gt;='_motor'!$B$670,'_motor'!$H$642&lt;'_motor'!$B$670),"1 · Entrada / determinante",IF(AND('_motor'!$G$642&gt;='_motor'!$B$670,'_motor'!$H$642&gt;='_motor'!$B$670),"2 · Intermedia / de enlace",IF(AND('_motor'!$G$642&lt;'_motor'!$B$670,'_motor'!$H$642&gt;='_motor'!$B$670),"3 · Resultado","4 · Excluida / autónoma")))))</f>
        <v/>
      </c>
      <c r="J62" s="19">
        <f>IF('_motor'!$B$642=0,"",IF(AND(ABS('_motor'!$G$642-'_motor'!$B$670)&lt;='_motor'!$B$678+0.000000001,ABS('_motor'!$H$642-'_motor'!$B$670)&lt;='_motor'!$B$678+0.000000001),"Reguladora",IF(AND('_motor'!$G$642&gt;='_motor'!$B$670,'_motor'!$H$642&lt;0.5*'_motor'!$B$670),"Determinante / entorno",IF(AND('_motor'!$G$642&gt;='_motor'!$B$670,'_motor'!$H$642&lt;'_motor'!$B$670),"Palanca secundaria",IF(AND('_motor'!$G$642&gt;='_motor'!$B$670,'_motor'!$H$642&gt;='_motor'!$B$670),"Clave / de enlace",IF(AND('_motor'!$H$642&gt;='_motor'!$B$670,'_motor'!$G$642&gt;=0.5*'_motor'!$B$670),"Objetivo",IF('_motor'!$H$642&gt;='_motor'!$B$670,"Resultado","Autónoma")))))))</f>
        <v/>
      </c>
    </row>
    <row r="63" spans="1:10" x14ac:dyDescent="0.2">
      <c r="A63" s="21">
        <f>IF('_motor'!$B$643=0,"",'02 · Variables'!$B$64)</f>
        <v/>
      </c>
      <c r="B63" s="19">
        <f>IF('_motor'!$B$643=0,"",'02 · Variables'!$C$64)</f>
        <v/>
      </c>
      <c r="C63" s="38">
        <f>IF('_motor'!$B$643=0,"",'_motor'!$G$643)</f>
        <v/>
      </c>
      <c r="D63" s="38">
        <f>IF('_motor'!$B$643=0,"",'_motor'!$H$643)</f>
        <v/>
      </c>
      <c r="E63" s="33">
        <f>IF(OR('_motor'!$B$643=0,'_motor'!$B$674=0),"",'_motor'!$G$643/'_motor'!$B$674)</f>
        <v/>
      </c>
      <c r="F63" s="33">
        <f>IF(OR('_motor'!$B$643=0,'_motor'!$B$674=0),"",'_motor'!$H$643/'_motor'!$B$674)</f>
        <v/>
      </c>
      <c r="G63" s="22">
        <f>IF('_motor'!$B$643=0,"",SUMPRODUCT('_motor'!$B$586:$B$665*('_motor'!$G$586:$G$665&gt;'_motor'!$G$643))+(SUMPRODUCT('_motor'!$B$586:$B$665*('_motor'!$G$586:$G$665='_motor'!$G$643))+1)/2)</f>
        <v/>
      </c>
      <c r="H63" s="22">
        <f>IF('_motor'!$B$643=0,"",SUMPRODUCT('_motor'!$B$586:$B$665*('_motor'!$H$586:$H$665&gt;'_motor'!$H$643))+(SUMPRODUCT('_motor'!$B$586:$B$665*('_motor'!$H$586:$H$665='_motor'!$H$643))+1)/2)</f>
        <v/>
      </c>
      <c r="I63" s="19">
        <f>IF('_motor'!$B$643=0,"",IF(AND(ABS('_motor'!$G$643-'_motor'!$B$670)&lt;='_motor'!$B$678+0.000000001,ABS('_motor'!$H$643-'_motor'!$B$670)&lt;='_motor'!$B$678+0.000000001),"5 · Pelotón (no concluyente)",IF(AND('_motor'!$G$643&gt;='_motor'!$B$670,'_motor'!$H$643&lt;'_motor'!$B$670),"1 · Entrada / determinante",IF(AND('_motor'!$G$643&gt;='_motor'!$B$670,'_motor'!$H$643&gt;='_motor'!$B$670),"2 · Intermedia / de enlace",IF(AND('_motor'!$G$643&lt;'_motor'!$B$670,'_motor'!$H$643&gt;='_motor'!$B$670),"3 · Resultado","4 · Excluida / autónoma")))))</f>
        <v/>
      </c>
      <c r="J63" s="19">
        <f>IF('_motor'!$B$643=0,"",IF(AND(ABS('_motor'!$G$643-'_motor'!$B$670)&lt;='_motor'!$B$678+0.000000001,ABS('_motor'!$H$643-'_motor'!$B$670)&lt;='_motor'!$B$678+0.000000001),"Reguladora",IF(AND('_motor'!$G$643&gt;='_motor'!$B$670,'_motor'!$H$643&lt;0.5*'_motor'!$B$670),"Determinante / entorno",IF(AND('_motor'!$G$643&gt;='_motor'!$B$670,'_motor'!$H$643&lt;'_motor'!$B$670),"Palanca secundaria",IF(AND('_motor'!$G$643&gt;='_motor'!$B$670,'_motor'!$H$643&gt;='_motor'!$B$670),"Clave / de enlace",IF(AND('_motor'!$H$643&gt;='_motor'!$B$670,'_motor'!$G$643&gt;=0.5*'_motor'!$B$670),"Objetivo",IF('_motor'!$H$643&gt;='_motor'!$B$670,"Resultado","Autónoma")))))))</f>
        <v/>
      </c>
    </row>
    <row r="64" spans="1:10" x14ac:dyDescent="0.2">
      <c r="A64" s="21">
        <f>IF('_motor'!$B$644=0,"",'02 · Variables'!$B$65)</f>
        <v/>
      </c>
      <c r="B64" s="19">
        <f>IF('_motor'!$B$644=0,"",'02 · Variables'!$C$65)</f>
        <v/>
      </c>
      <c r="C64" s="38">
        <f>IF('_motor'!$B$644=0,"",'_motor'!$G$644)</f>
        <v/>
      </c>
      <c r="D64" s="38">
        <f>IF('_motor'!$B$644=0,"",'_motor'!$H$644)</f>
        <v/>
      </c>
      <c r="E64" s="33">
        <f>IF(OR('_motor'!$B$644=0,'_motor'!$B$674=0),"",'_motor'!$G$644/'_motor'!$B$674)</f>
        <v/>
      </c>
      <c r="F64" s="33">
        <f>IF(OR('_motor'!$B$644=0,'_motor'!$B$674=0),"",'_motor'!$H$644/'_motor'!$B$674)</f>
        <v/>
      </c>
      <c r="G64" s="22">
        <f>IF('_motor'!$B$644=0,"",SUMPRODUCT('_motor'!$B$586:$B$665*('_motor'!$G$586:$G$665&gt;'_motor'!$G$644))+(SUMPRODUCT('_motor'!$B$586:$B$665*('_motor'!$G$586:$G$665='_motor'!$G$644))+1)/2)</f>
        <v/>
      </c>
      <c r="H64" s="22">
        <f>IF('_motor'!$B$644=0,"",SUMPRODUCT('_motor'!$B$586:$B$665*('_motor'!$H$586:$H$665&gt;'_motor'!$H$644))+(SUMPRODUCT('_motor'!$B$586:$B$665*('_motor'!$H$586:$H$665='_motor'!$H$644))+1)/2)</f>
        <v/>
      </c>
      <c r="I64" s="19">
        <f>IF('_motor'!$B$644=0,"",IF(AND(ABS('_motor'!$G$644-'_motor'!$B$670)&lt;='_motor'!$B$678+0.000000001,ABS('_motor'!$H$644-'_motor'!$B$670)&lt;='_motor'!$B$678+0.000000001),"5 · Pelotón (no concluyente)",IF(AND('_motor'!$G$644&gt;='_motor'!$B$670,'_motor'!$H$644&lt;'_motor'!$B$670),"1 · Entrada / determinante",IF(AND('_motor'!$G$644&gt;='_motor'!$B$670,'_motor'!$H$644&gt;='_motor'!$B$670),"2 · Intermedia / de enlace",IF(AND('_motor'!$G$644&lt;'_motor'!$B$670,'_motor'!$H$644&gt;='_motor'!$B$670),"3 · Resultado","4 · Excluida / autónoma")))))</f>
        <v/>
      </c>
      <c r="J64" s="19">
        <f>IF('_motor'!$B$644=0,"",IF(AND(ABS('_motor'!$G$644-'_motor'!$B$670)&lt;='_motor'!$B$678+0.000000001,ABS('_motor'!$H$644-'_motor'!$B$670)&lt;='_motor'!$B$678+0.000000001),"Reguladora",IF(AND('_motor'!$G$644&gt;='_motor'!$B$670,'_motor'!$H$644&lt;0.5*'_motor'!$B$670),"Determinante / entorno",IF(AND('_motor'!$G$644&gt;='_motor'!$B$670,'_motor'!$H$644&lt;'_motor'!$B$670),"Palanca secundaria",IF(AND('_motor'!$G$644&gt;='_motor'!$B$670,'_motor'!$H$644&gt;='_motor'!$B$670),"Clave / de enlace",IF(AND('_motor'!$H$644&gt;='_motor'!$B$670,'_motor'!$G$644&gt;=0.5*'_motor'!$B$670),"Objetivo",IF('_motor'!$H$644&gt;='_motor'!$B$670,"Resultado","Autónoma")))))))</f>
        <v/>
      </c>
    </row>
    <row r="65" spans="1:10" x14ac:dyDescent="0.2">
      <c r="A65" s="21">
        <f>IF('_motor'!$B$645=0,"",'02 · Variables'!$B$66)</f>
        <v/>
      </c>
      <c r="B65" s="19">
        <f>IF('_motor'!$B$645=0,"",'02 · Variables'!$C$66)</f>
        <v/>
      </c>
      <c r="C65" s="38">
        <f>IF('_motor'!$B$645=0,"",'_motor'!$G$645)</f>
        <v/>
      </c>
      <c r="D65" s="38">
        <f>IF('_motor'!$B$645=0,"",'_motor'!$H$645)</f>
        <v/>
      </c>
      <c r="E65" s="33">
        <f>IF(OR('_motor'!$B$645=0,'_motor'!$B$674=0),"",'_motor'!$G$645/'_motor'!$B$674)</f>
        <v/>
      </c>
      <c r="F65" s="33">
        <f>IF(OR('_motor'!$B$645=0,'_motor'!$B$674=0),"",'_motor'!$H$645/'_motor'!$B$674)</f>
        <v/>
      </c>
      <c r="G65" s="22">
        <f>IF('_motor'!$B$645=0,"",SUMPRODUCT('_motor'!$B$586:$B$665*('_motor'!$G$586:$G$665&gt;'_motor'!$G$645))+(SUMPRODUCT('_motor'!$B$586:$B$665*('_motor'!$G$586:$G$665='_motor'!$G$645))+1)/2)</f>
        <v/>
      </c>
      <c r="H65" s="22">
        <f>IF('_motor'!$B$645=0,"",SUMPRODUCT('_motor'!$B$586:$B$665*('_motor'!$H$586:$H$665&gt;'_motor'!$H$645))+(SUMPRODUCT('_motor'!$B$586:$B$665*('_motor'!$H$586:$H$665='_motor'!$H$645))+1)/2)</f>
        <v/>
      </c>
      <c r="I65" s="19">
        <f>IF('_motor'!$B$645=0,"",IF(AND(ABS('_motor'!$G$645-'_motor'!$B$670)&lt;='_motor'!$B$678+0.000000001,ABS('_motor'!$H$645-'_motor'!$B$670)&lt;='_motor'!$B$678+0.000000001),"5 · Pelotón (no concluyente)",IF(AND('_motor'!$G$645&gt;='_motor'!$B$670,'_motor'!$H$645&lt;'_motor'!$B$670),"1 · Entrada / determinante",IF(AND('_motor'!$G$645&gt;='_motor'!$B$670,'_motor'!$H$645&gt;='_motor'!$B$670),"2 · Intermedia / de enlace",IF(AND('_motor'!$G$645&lt;'_motor'!$B$670,'_motor'!$H$645&gt;='_motor'!$B$670),"3 · Resultado","4 · Excluida / autónoma")))))</f>
        <v/>
      </c>
      <c r="J65" s="19">
        <f>IF('_motor'!$B$645=0,"",IF(AND(ABS('_motor'!$G$645-'_motor'!$B$670)&lt;='_motor'!$B$678+0.000000001,ABS('_motor'!$H$645-'_motor'!$B$670)&lt;='_motor'!$B$678+0.000000001),"Reguladora",IF(AND('_motor'!$G$645&gt;='_motor'!$B$670,'_motor'!$H$645&lt;0.5*'_motor'!$B$670),"Determinante / entorno",IF(AND('_motor'!$G$645&gt;='_motor'!$B$670,'_motor'!$H$645&lt;'_motor'!$B$670),"Palanca secundaria",IF(AND('_motor'!$G$645&gt;='_motor'!$B$670,'_motor'!$H$645&gt;='_motor'!$B$670),"Clave / de enlace",IF(AND('_motor'!$H$645&gt;='_motor'!$B$670,'_motor'!$G$645&gt;=0.5*'_motor'!$B$670),"Objetivo",IF('_motor'!$H$645&gt;='_motor'!$B$670,"Resultado","Autónoma")))))))</f>
        <v/>
      </c>
    </row>
    <row r="66" spans="1:10" x14ac:dyDescent="0.2">
      <c r="A66" s="21">
        <f>IF('_motor'!$B$646=0,"",'02 · Variables'!$B$67)</f>
        <v/>
      </c>
      <c r="B66" s="19">
        <f>IF('_motor'!$B$646=0,"",'02 · Variables'!$C$67)</f>
        <v/>
      </c>
      <c r="C66" s="38">
        <f>IF('_motor'!$B$646=0,"",'_motor'!$G$646)</f>
        <v/>
      </c>
      <c r="D66" s="38">
        <f>IF('_motor'!$B$646=0,"",'_motor'!$H$646)</f>
        <v/>
      </c>
      <c r="E66" s="33">
        <f>IF(OR('_motor'!$B$646=0,'_motor'!$B$674=0),"",'_motor'!$G$646/'_motor'!$B$674)</f>
        <v/>
      </c>
      <c r="F66" s="33">
        <f>IF(OR('_motor'!$B$646=0,'_motor'!$B$674=0),"",'_motor'!$H$646/'_motor'!$B$674)</f>
        <v/>
      </c>
      <c r="G66" s="22">
        <f>IF('_motor'!$B$646=0,"",SUMPRODUCT('_motor'!$B$586:$B$665*('_motor'!$G$586:$G$665&gt;'_motor'!$G$646))+(SUMPRODUCT('_motor'!$B$586:$B$665*('_motor'!$G$586:$G$665='_motor'!$G$646))+1)/2)</f>
        <v/>
      </c>
      <c r="H66" s="22">
        <f>IF('_motor'!$B$646=0,"",SUMPRODUCT('_motor'!$B$586:$B$665*('_motor'!$H$586:$H$665&gt;'_motor'!$H$646))+(SUMPRODUCT('_motor'!$B$586:$B$665*('_motor'!$H$586:$H$665='_motor'!$H$646))+1)/2)</f>
        <v/>
      </c>
      <c r="I66" s="19">
        <f>IF('_motor'!$B$646=0,"",IF(AND(ABS('_motor'!$G$646-'_motor'!$B$670)&lt;='_motor'!$B$678+0.000000001,ABS('_motor'!$H$646-'_motor'!$B$670)&lt;='_motor'!$B$678+0.000000001),"5 · Pelotón (no concluyente)",IF(AND('_motor'!$G$646&gt;='_motor'!$B$670,'_motor'!$H$646&lt;'_motor'!$B$670),"1 · Entrada / determinante",IF(AND('_motor'!$G$646&gt;='_motor'!$B$670,'_motor'!$H$646&gt;='_motor'!$B$670),"2 · Intermedia / de enlace",IF(AND('_motor'!$G$646&lt;'_motor'!$B$670,'_motor'!$H$646&gt;='_motor'!$B$670),"3 · Resultado","4 · Excluida / autónoma")))))</f>
        <v/>
      </c>
      <c r="J66" s="19">
        <f>IF('_motor'!$B$646=0,"",IF(AND(ABS('_motor'!$G$646-'_motor'!$B$670)&lt;='_motor'!$B$678+0.000000001,ABS('_motor'!$H$646-'_motor'!$B$670)&lt;='_motor'!$B$678+0.000000001),"Reguladora",IF(AND('_motor'!$G$646&gt;='_motor'!$B$670,'_motor'!$H$646&lt;0.5*'_motor'!$B$670),"Determinante / entorno",IF(AND('_motor'!$G$646&gt;='_motor'!$B$670,'_motor'!$H$646&lt;'_motor'!$B$670),"Palanca secundaria",IF(AND('_motor'!$G$646&gt;='_motor'!$B$670,'_motor'!$H$646&gt;='_motor'!$B$670),"Clave / de enlace",IF(AND('_motor'!$H$646&gt;='_motor'!$B$670,'_motor'!$G$646&gt;=0.5*'_motor'!$B$670),"Objetivo",IF('_motor'!$H$646&gt;='_motor'!$B$670,"Resultado","Autónoma")))))))</f>
        <v/>
      </c>
    </row>
    <row r="67" spans="1:10" x14ac:dyDescent="0.2">
      <c r="A67" s="21">
        <f>IF('_motor'!$B$647=0,"",'02 · Variables'!$B$68)</f>
        <v/>
      </c>
      <c r="B67" s="19">
        <f>IF('_motor'!$B$647=0,"",'02 · Variables'!$C$68)</f>
        <v/>
      </c>
      <c r="C67" s="38">
        <f>IF('_motor'!$B$647=0,"",'_motor'!$G$647)</f>
        <v/>
      </c>
      <c r="D67" s="38">
        <f>IF('_motor'!$B$647=0,"",'_motor'!$H$647)</f>
        <v/>
      </c>
      <c r="E67" s="33">
        <f>IF(OR('_motor'!$B$647=0,'_motor'!$B$674=0),"",'_motor'!$G$647/'_motor'!$B$674)</f>
        <v/>
      </c>
      <c r="F67" s="33">
        <f>IF(OR('_motor'!$B$647=0,'_motor'!$B$674=0),"",'_motor'!$H$647/'_motor'!$B$674)</f>
        <v/>
      </c>
      <c r="G67" s="22">
        <f>IF('_motor'!$B$647=0,"",SUMPRODUCT('_motor'!$B$586:$B$665*('_motor'!$G$586:$G$665&gt;'_motor'!$G$647))+(SUMPRODUCT('_motor'!$B$586:$B$665*('_motor'!$G$586:$G$665='_motor'!$G$647))+1)/2)</f>
        <v/>
      </c>
      <c r="H67" s="22">
        <f>IF('_motor'!$B$647=0,"",SUMPRODUCT('_motor'!$B$586:$B$665*('_motor'!$H$586:$H$665&gt;'_motor'!$H$647))+(SUMPRODUCT('_motor'!$B$586:$B$665*('_motor'!$H$586:$H$665='_motor'!$H$647))+1)/2)</f>
        <v/>
      </c>
      <c r="I67" s="19">
        <f>IF('_motor'!$B$647=0,"",IF(AND(ABS('_motor'!$G$647-'_motor'!$B$670)&lt;='_motor'!$B$678+0.000000001,ABS('_motor'!$H$647-'_motor'!$B$670)&lt;='_motor'!$B$678+0.000000001),"5 · Pelotón (no concluyente)",IF(AND('_motor'!$G$647&gt;='_motor'!$B$670,'_motor'!$H$647&lt;'_motor'!$B$670),"1 · Entrada / determinante",IF(AND('_motor'!$G$647&gt;='_motor'!$B$670,'_motor'!$H$647&gt;='_motor'!$B$670),"2 · Intermedia / de enlace",IF(AND('_motor'!$G$647&lt;'_motor'!$B$670,'_motor'!$H$647&gt;='_motor'!$B$670),"3 · Resultado","4 · Excluida / autónoma")))))</f>
        <v/>
      </c>
      <c r="J67" s="19">
        <f>IF('_motor'!$B$647=0,"",IF(AND(ABS('_motor'!$G$647-'_motor'!$B$670)&lt;='_motor'!$B$678+0.000000001,ABS('_motor'!$H$647-'_motor'!$B$670)&lt;='_motor'!$B$678+0.000000001),"Reguladora",IF(AND('_motor'!$G$647&gt;='_motor'!$B$670,'_motor'!$H$647&lt;0.5*'_motor'!$B$670),"Determinante / entorno",IF(AND('_motor'!$G$647&gt;='_motor'!$B$670,'_motor'!$H$647&lt;'_motor'!$B$670),"Palanca secundaria",IF(AND('_motor'!$G$647&gt;='_motor'!$B$670,'_motor'!$H$647&gt;='_motor'!$B$670),"Clave / de enlace",IF(AND('_motor'!$H$647&gt;='_motor'!$B$670,'_motor'!$G$647&gt;=0.5*'_motor'!$B$670),"Objetivo",IF('_motor'!$H$647&gt;='_motor'!$B$670,"Resultado","Autónoma")))))))</f>
        <v/>
      </c>
    </row>
    <row r="68" spans="1:10" x14ac:dyDescent="0.2">
      <c r="A68" s="21">
        <f>IF('_motor'!$B$648=0,"",'02 · Variables'!$B$69)</f>
        <v/>
      </c>
      <c r="B68" s="19">
        <f>IF('_motor'!$B$648=0,"",'02 · Variables'!$C$69)</f>
        <v/>
      </c>
      <c r="C68" s="38">
        <f>IF('_motor'!$B$648=0,"",'_motor'!$G$648)</f>
        <v/>
      </c>
      <c r="D68" s="38">
        <f>IF('_motor'!$B$648=0,"",'_motor'!$H$648)</f>
        <v/>
      </c>
      <c r="E68" s="33">
        <f>IF(OR('_motor'!$B$648=0,'_motor'!$B$674=0),"",'_motor'!$G$648/'_motor'!$B$674)</f>
        <v/>
      </c>
      <c r="F68" s="33">
        <f>IF(OR('_motor'!$B$648=0,'_motor'!$B$674=0),"",'_motor'!$H$648/'_motor'!$B$674)</f>
        <v/>
      </c>
      <c r="G68" s="22">
        <f>IF('_motor'!$B$648=0,"",SUMPRODUCT('_motor'!$B$586:$B$665*('_motor'!$G$586:$G$665&gt;'_motor'!$G$648))+(SUMPRODUCT('_motor'!$B$586:$B$665*('_motor'!$G$586:$G$665='_motor'!$G$648))+1)/2)</f>
        <v/>
      </c>
      <c r="H68" s="22">
        <f>IF('_motor'!$B$648=0,"",SUMPRODUCT('_motor'!$B$586:$B$665*('_motor'!$H$586:$H$665&gt;'_motor'!$H$648))+(SUMPRODUCT('_motor'!$B$586:$B$665*('_motor'!$H$586:$H$665='_motor'!$H$648))+1)/2)</f>
        <v/>
      </c>
      <c r="I68" s="19">
        <f>IF('_motor'!$B$648=0,"",IF(AND(ABS('_motor'!$G$648-'_motor'!$B$670)&lt;='_motor'!$B$678+0.000000001,ABS('_motor'!$H$648-'_motor'!$B$670)&lt;='_motor'!$B$678+0.000000001),"5 · Pelotón (no concluyente)",IF(AND('_motor'!$G$648&gt;='_motor'!$B$670,'_motor'!$H$648&lt;'_motor'!$B$670),"1 · Entrada / determinante",IF(AND('_motor'!$G$648&gt;='_motor'!$B$670,'_motor'!$H$648&gt;='_motor'!$B$670),"2 · Intermedia / de enlace",IF(AND('_motor'!$G$648&lt;'_motor'!$B$670,'_motor'!$H$648&gt;='_motor'!$B$670),"3 · Resultado","4 · Excluida / autónoma")))))</f>
        <v/>
      </c>
      <c r="J68" s="19">
        <f>IF('_motor'!$B$648=0,"",IF(AND(ABS('_motor'!$G$648-'_motor'!$B$670)&lt;='_motor'!$B$678+0.000000001,ABS('_motor'!$H$648-'_motor'!$B$670)&lt;='_motor'!$B$678+0.000000001),"Reguladora",IF(AND('_motor'!$G$648&gt;='_motor'!$B$670,'_motor'!$H$648&lt;0.5*'_motor'!$B$670),"Determinante / entorno",IF(AND('_motor'!$G$648&gt;='_motor'!$B$670,'_motor'!$H$648&lt;'_motor'!$B$670),"Palanca secundaria",IF(AND('_motor'!$G$648&gt;='_motor'!$B$670,'_motor'!$H$648&gt;='_motor'!$B$670),"Clave / de enlace",IF(AND('_motor'!$H$648&gt;='_motor'!$B$670,'_motor'!$G$648&gt;=0.5*'_motor'!$B$670),"Objetivo",IF('_motor'!$H$648&gt;='_motor'!$B$670,"Resultado","Autónoma")))))))</f>
        <v/>
      </c>
    </row>
    <row r="69" spans="1:10" x14ac:dyDescent="0.2">
      <c r="A69" s="21">
        <f>IF('_motor'!$B$649=0,"",'02 · Variables'!$B$70)</f>
        <v/>
      </c>
      <c r="B69" s="19">
        <f>IF('_motor'!$B$649=0,"",'02 · Variables'!$C$70)</f>
        <v/>
      </c>
      <c r="C69" s="38">
        <f>IF('_motor'!$B$649=0,"",'_motor'!$G$649)</f>
        <v/>
      </c>
      <c r="D69" s="38">
        <f>IF('_motor'!$B$649=0,"",'_motor'!$H$649)</f>
        <v/>
      </c>
      <c r="E69" s="33">
        <f>IF(OR('_motor'!$B$649=0,'_motor'!$B$674=0),"",'_motor'!$G$649/'_motor'!$B$674)</f>
        <v/>
      </c>
      <c r="F69" s="33">
        <f>IF(OR('_motor'!$B$649=0,'_motor'!$B$674=0),"",'_motor'!$H$649/'_motor'!$B$674)</f>
        <v/>
      </c>
      <c r="G69" s="22">
        <f>IF('_motor'!$B$649=0,"",SUMPRODUCT('_motor'!$B$586:$B$665*('_motor'!$G$586:$G$665&gt;'_motor'!$G$649))+(SUMPRODUCT('_motor'!$B$586:$B$665*('_motor'!$G$586:$G$665='_motor'!$G$649))+1)/2)</f>
        <v/>
      </c>
      <c r="H69" s="22">
        <f>IF('_motor'!$B$649=0,"",SUMPRODUCT('_motor'!$B$586:$B$665*('_motor'!$H$586:$H$665&gt;'_motor'!$H$649))+(SUMPRODUCT('_motor'!$B$586:$B$665*('_motor'!$H$586:$H$665='_motor'!$H$649))+1)/2)</f>
        <v/>
      </c>
      <c r="I69" s="19">
        <f>IF('_motor'!$B$649=0,"",IF(AND(ABS('_motor'!$G$649-'_motor'!$B$670)&lt;='_motor'!$B$678+0.000000001,ABS('_motor'!$H$649-'_motor'!$B$670)&lt;='_motor'!$B$678+0.000000001),"5 · Pelotón (no concluyente)",IF(AND('_motor'!$G$649&gt;='_motor'!$B$670,'_motor'!$H$649&lt;'_motor'!$B$670),"1 · Entrada / determinante",IF(AND('_motor'!$G$649&gt;='_motor'!$B$670,'_motor'!$H$649&gt;='_motor'!$B$670),"2 · Intermedia / de enlace",IF(AND('_motor'!$G$649&lt;'_motor'!$B$670,'_motor'!$H$649&gt;='_motor'!$B$670),"3 · Resultado","4 · Excluida / autónoma")))))</f>
        <v/>
      </c>
      <c r="J69" s="19">
        <f>IF('_motor'!$B$649=0,"",IF(AND(ABS('_motor'!$G$649-'_motor'!$B$670)&lt;='_motor'!$B$678+0.000000001,ABS('_motor'!$H$649-'_motor'!$B$670)&lt;='_motor'!$B$678+0.000000001),"Reguladora",IF(AND('_motor'!$G$649&gt;='_motor'!$B$670,'_motor'!$H$649&lt;0.5*'_motor'!$B$670),"Determinante / entorno",IF(AND('_motor'!$G$649&gt;='_motor'!$B$670,'_motor'!$H$649&lt;'_motor'!$B$670),"Palanca secundaria",IF(AND('_motor'!$G$649&gt;='_motor'!$B$670,'_motor'!$H$649&gt;='_motor'!$B$670),"Clave / de enlace",IF(AND('_motor'!$H$649&gt;='_motor'!$B$670,'_motor'!$G$649&gt;=0.5*'_motor'!$B$670),"Objetivo",IF('_motor'!$H$649&gt;='_motor'!$B$670,"Resultado","Autónoma")))))))</f>
        <v/>
      </c>
    </row>
    <row r="70" spans="1:10" x14ac:dyDescent="0.2">
      <c r="A70" s="21">
        <f>IF('_motor'!$B$650=0,"",'02 · Variables'!$B$71)</f>
        <v/>
      </c>
      <c r="B70" s="19">
        <f>IF('_motor'!$B$650=0,"",'02 · Variables'!$C$71)</f>
        <v/>
      </c>
      <c r="C70" s="38">
        <f>IF('_motor'!$B$650=0,"",'_motor'!$G$650)</f>
        <v/>
      </c>
      <c r="D70" s="38">
        <f>IF('_motor'!$B$650=0,"",'_motor'!$H$650)</f>
        <v/>
      </c>
      <c r="E70" s="33">
        <f>IF(OR('_motor'!$B$650=0,'_motor'!$B$674=0),"",'_motor'!$G$650/'_motor'!$B$674)</f>
        <v/>
      </c>
      <c r="F70" s="33">
        <f>IF(OR('_motor'!$B$650=0,'_motor'!$B$674=0),"",'_motor'!$H$650/'_motor'!$B$674)</f>
        <v/>
      </c>
      <c r="G70" s="22">
        <f>IF('_motor'!$B$650=0,"",SUMPRODUCT('_motor'!$B$586:$B$665*('_motor'!$G$586:$G$665&gt;'_motor'!$G$650))+(SUMPRODUCT('_motor'!$B$586:$B$665*('_motor'!$G$586:$G$665='_motor'!$G$650))+1)/2)</f>
        <v/>
      </c>
      <c r="H70" s="22">
        <f>IF('_motor'!$B$650=0,"",SUMPRODUCT('_motor'!$B$586:$B$665*('_motor'!$H$586:$H$665&gt;'_motor'!$H$650))+(SUMPRODUCT('_motor'!$B$586:$B$665*('_motor'!$H$586:$H$665='_motor'!$H$650))+1)/2)</f>
        <v/>
      </c>
      <c r="I70" s="19">
        <f>IF('_motor'!$B$650=0,"",IF(AND(ABS('_motor'!$G$650-'_motor'!$B$670)&lt;='_motor'!$B$678+0.000000001,ABS('_motor'!$H$650-'_motor'!$B$670)&lt;='_motor'!$B$678+0.000000001),"5 · Pelotón (no concluyente)",IF(AND('_motor'!$G$650&gt;='_motor'!$B$670,'_motor'!$H$650&lt;'_motor'!$B$670),"1 · Entrada / determinante",IF(AND('_motor'!$G$650&gt;='_motor'!$B$670,'_motor'!$H$650&gt;='_motor'!$B$670),"2 · Intermedia / de enlace",IF(AND('_motor'!$G$650&lt;'_motor'!$B$670,'_motor'!$H$650&gt;='_motor'!$B$670),"3 · Resultado","4 · Excluida / autónoma")))))</f>
        <v/>
      </c>
      <c r="J70" s="19">
        <f>IF('_motor'!$B$650=0,"",IF(AND(ABS('_motor'!$G$650-'_motor'!$B$670)&lt;='_motor'!$B$678+0.000000001,ABS('_motor'!$H$650-'_motor'!$B$670)&lt;='_motor'!$B$678+0.000000001),"Reguladora",IF(AND('_motor'!$G$650&gt;='_motor'!$B$670,'_motor'!$H$650&lt;0.5*'_motor'!$B$670),"Determinante / entorno",IF(AND('_motor'!$G$650&gt;='_motor'!$B$670,'_motor'!$H$650&lt;'_motor'!$B$670),"Palanca secundaria",IF(AND('_motor'!$G$650&gt;='_motor'!$B$670,'_motor'!$H$650&gt;='_motor'!$B$670),"Clave / de enlace",IF(AND('_motor'!$H$650&gt;='_motor'!$B$670,'_motor'!$G$650&gt;=0.5*'_motor'!$B$670),"Objetivo",IF('_motor'!$H$650&gt;='_motor'!$B$670,"Resultado","Autónoma")))))))</f>
        <v/>
      </c>
    </row>
    <row r="71" spans="1:10" x14ac:dyDescent="0.2">
      <c r="A71" s="21">
        <f>IF('_motor'!$B$651=0,"",'02 · Variables'!$B$72)</f>
        <v/>
      </c>
      <c r="B71" s="19">
        <f>IF('_motor'!$B$651=0,"",'02 · Variables'!$C$72)</f>
        <v/>
      </c>
      <c r="C71" s="38">
        <f>IF('_motor'!$B$651=0,"",'_motor'!$G$651)</f>
        <v/>
      </c>
      <c r="D71" s="38">
        <f>IF('_motor'!$B$651=0,"",'_motor'!$H$651)</f>
        <v/>
      </c>
      <c r="E71" s="33">
        <f>IF(OR('_motor'!$B$651=0,'_motor'!$B$674=0),"",'_motor'!$G$651/'_motor'!$B$674)</f>
        <v/>
      </c>
      <c r="F71" s="33">
        <f>IF(OR('_motor'!$B$651=0,'_motor'!$B$674=0),"",'_motor'!$H$651/'_motor'!$B$674)</f>
        <v/>
      </c>
      <c r="G71" s="22">
        <f>IF('_motor'!$B$651=0,"",SUMPRODUCT('_motor'!$B$586:$B$665*('_motor'!$G$586:$G$665&gt;'_motor'!$G$651))+(SUMPRODUCT('_motor'!$B$586:$B$665*('_motor'!$G$586:$G$665='_motor'!$G$651))+1)/2)</f>
        <v/>
      </c>
      <c r="H71" s="22">
        <f>IF('_motor'!$B$651=0,"",SUMPRODUCT('_motor'!$B$586:$B$665*('_motor'!$H$586:$H$665&gt;'_motor'!$H$651))+(SUMPRODUCT('_motor'!$B$586:$B$665*('_motor'!$H$586:$H$665='_motor'!$H$651))+1)/2)</f>
        <v/>
      </c>
      <c r="I71" s="19">
        <f>IF('_motor'!$B$651=0,"",IF(AND(ABS('_motor'!$G$651-'_motor'!$B$670)&lt;='_motor'!$B$678+0.000000001,ABS('_motor'!$H$651-'_motor'!$B$670)&lt;='_motor'!$B$678+0.000000001),"5 · Pelotón (no concluyente)",IF(AND('_motor'!$G$651&gt;='_motor'!$B$670,'_motor'!$H$651&lt;'_motor'!$B$670),"1 · Entrada / determinante",IF(AND('_motor'!$G$651&gt;='_motor'!$B$670,'_motor'!$H$651&gt;='_motor'!$B$670),"2 · Intermedia / de enlace",IF(AND('_motor'!$G$651&lt;'_motor'!$B$670,'_motor'!$H$651&gt;='_motor'!$B$670),"3 · Resultado","4 · Excluida / autónoma")))))</f>
        <v/>
      </c>
      <c r="J71" s="19">
        <f>IF('_motor'!$B$651=0,"",IF(AND(ABS('_motor'!$G$651-'_motor'!$B$670)&lt;='_motor'!$B$678+0.000000001,ABS('_motor'!$H$651-'_motor'!$B$670)&lt;='_motor'!$B$678+0.000000001),"Reguladora",IF(AND('_motor'!$G$651&gt;='_motor'!$B$670,'_motor'!$H$651&lt;0.5*'_motor'!$B$670),"Determinante / entorno",IF(AND('_motor'!$G$651&gt;='_motor'!$B$670,'_motor'!$H$651&lt;'_motor'!$B$670),"Palanca secundaria",IF(AND('_motor'!$G$651&gt;='_motor'!$B$670,'_motor'!$H$651&gt;='_motor'!$B$670),"Clave / de enlace",IF(AND('_motor'!$H$651&gt;='_motor'!$B$670,'_motor'!$G$651&gt;=0.5*'_motor'!$B$670),"Objetivo",IF('_motor'!$H$651&gt;='_motor'!$B$670,"Resultado","Autónoma")))))))</f>
        <v/>
      </c>
    </row>
    <row r="72" spans="1:10" x14ac:dyDescent="0.2">
      <c r="A72" s="21">
        <f>IF('_motor'!$B$652=0,"",'02 · Variables'!$B$73)</f>
        <v/>
      </c>
      <c r="B72" s="19">
        <f>IF('_motor'!$B$652=0,"",'02 · Variables'!$C$73)</f>
        <v/>
      </c>
      <c r="C72" s="38">
        <f>IF('_motor'!$B$652=0,"",'_motor'!$G$652)</f>
        <v/>
      </c>
      <c r="D72" s="38">
        <f>IF('_motor'!$B$652=0,"",'_motor'!$H$652)</f>
        <v/>
      </c>
      <c r="E72" s="33">
        <f>IF(OR('_motor'!$B$652=0,'_motor'!$B$674=0),"",'_motor'!$G$652/'_motor'!$B$674)</f>
        <v/>
      </c>
      <c r="F72" s="33">
        <f>IF(OR('_motor'!$B$652=0,'_motor'!$B$674=0),"",'_motor'!$H$652/'_motor'!$B$674)</f>
        <v/>
      </c>
      <c r="G72" s="22">
        <f>IF('_motor'!$B$652=0,"",SUMPRODUCT('_motor'!$B$586:$B$665*('_motor'!$G$586:$G$665&gt;'_motor'!$G$652))+(SUMPRODUCT('_motor'!$B$586:$B$665*('_motor'!$G$586:$G$665='_motor'!$G$652))+1)/2)</f>
        <v/>
      </c>
      <c r="H72" s="22">
        <f>IF('_motor'!$B$652=0,"",SUMPRODUCT('_motor'!$B$586:$B$665*('_motor'!$H$586:$H$665&gt;'_motor'!$H$652))+(SUMPRODUCT('_motor'!$B$586:$B$665*('_motor'!$H$586:$H$665='_motor'!$H$652))+1)/2)</f>
        <v/>
      </c>
      <c r="I72" s="19">
        <f>IF('_motor'!$B$652=0,"",IF(AND(ABS('_motor'!$G$652-'_motor'!$B$670)&lt;='_motor'!$B$678+0.000000001,ABS('_motor'!$H$652-'_motor'!$B$670)&lt;='_motor'!$B$678+0.000000001),"5 · Pelotón (no concluyente)",IF(AND('_motor'!$G$652&gt;='_motor'!$B$670,'_motor'!$H$652&lt;'_motor'!$B$670),"1 · Entrada / determinante",IF(AND('_motor'!$G$652&gt;='_motor'!$B$670,'_motor'!$H$652&gt;='_motor'!$B$670),"2 · Intermedia / de enlace",IF(AND('_motor'!$G$652&lt;'_motor'!$B$670,'_motor'!$H$652&gt;='_motor'!$B$670),"3 · Resultado","4 · Excluida / autónoma")))))</f>
        <v/>
      </c>
      <c r="J72" s="19">
        <f>IF('_motor'!$B$652=0,"",IF(AND(ABS('_motor'!$G$652-'_motor'!$B$670)&lt;='_motor'!$B$678+0.000000001,ABS('_motor'!$H$652-'_motor'!$B$670)&lt;='_motor'!$B$678+0.000000001),"Reguladora",IF(AND('_motor'!$G$652&gt;='_motor'!$B$670,'_motor'!$H$652&lt;0.5*'_motor'!$B$670),"Determinante / entorno",IF(AND('_motor'!$G$652&gt;='_motor'!$B$670,'_motor'!$H$652&lt;'_motor'!$B$670),"Palanca secundaria",IF(AND('_motor'!$G$652&gt;='_motor'!$B$670,'_motor'!$H$652&gt;='_motor'!$B$670),"Clave / de enlace",IF(AND('_motor'!$H$652&gt;='_motor'!$B$670,'_motor'!$G$652&gt;=0.5*'_motor'!$B$670),"Objetivo",IF('_motor'!$H$652&gt;='_motor'!$B$670,"Resultado","Autónoma")))))))</f>
        <v/>
      </c>
    </row>
    <row r="73" spans="1:10" x14ac:dyDescent="0.2">
      <c r="A73" s="21">
        <f>IF('_motor'!$B$653=0,"",'02 · Variables'!$B$74)</f>
        <v/>
      </c>
      <c r="B73" s="19">
        <f>IF('_motor'!$B$653=0,"",'02 · Variables'!$C$74)</f>
        <v/>
      </c>
      <c r="C73" s="38">
        <f>IF('_motor'!$B$653=0,"",'_motor'!$G$653)</f>
        <v/>
      </c>
      <c r="D73" s="38">
        <f>IF('_motor'!$B$653=0,"",'_motor'!$H$653)</f>
        <v/>
      </c>
      <c r="E73" s="33">
        <f>IF(OR('_motor'!$B$653=0,'_motor'!$B$674=0),"",'_motor'!$G$653/'_motor'!$B$674)</f>
        <v/>
      </c>
      <c r="F73" s="33">
        <f>IF(OR('_motor'!$B$653=0,'_motor'!$B$674=0),"",'_motor'!$H$653/'_motor'!$B$674)</f>
        <v/>
      </c>
      <c r="G73" s="22">
        <f>IF('_motor'!$B$653=0,"",SUMPRODUCT('_motor'!$B$586:$B$665*('_motor'!$G$586:$G$665&gt;'_motor'!$G$653))+(SUMPRODUCT('_motor'!$B$586:$B$665*('_motor'!$G$586:$G$665='_motor'!$G$653))+1)/2)</f>
        <v/>
      </c>
      <c r="H73" s="22">
        <f>IF('_motor'!$B$653=0,"",SUMPRODUCT('_motor'!$B$586:$B$665*('_motor'!$H$586:$H$665&gt;'_motor'!$H$653))+(SUMPRODUCT('_motor'!$B$586:$B$665*('_motor'!$H$586:$H$665='_motor'!$H$653))+1)/2)</f>
        <v/>
      </c>
      <c r="I73" s="19">
        <f>IF('_motor'!$B$653=0,"",IF(AND(ABS('_motor'!$G$653-'_motor'!$B$670)&lt;='_motor'!$B$678+0.000000001,ABS('_motor'!$H$653-'_motor'!$B$670)&lt;='_motor'!$B$678+0.000000001),"5 · Pelotón (no concluyente)",IF(AND('_motor'!$G$653&gt;='_motor'!$B$670,'_motor'!$H$653&lt;'_motor'!$B$670),"1 · Entrada / determinante",IF(AND('_motor'!$G$653&gt;='_motor'!$B$670,'_motor'!$H$653&gt;='_motor'!$B$670),"2 · Intermedia / de enlace",IF(AND('_motor'!$G$653&lt;'_motor'!$B$670,'_motor'!$H$653&gt;='_motor'!$B$670),"3 · Resultado","4 · Excluida / autónoma")))))</f>
        <v/>
      </c>
      <c r="J73" s="19">
        <f>IF('_motor'!$B$653=0,"",IF(AND(ABS('_motor'!$G$653-'_motor'!$B$670)&lt;='_motor'!$B$678+0.000000001,ABS('_motor'!$H$653-'_motor'!$B$670)&lt;='_motor'!$B$678+0.000000001),"Reguladora",IF(AND('_motor'!$G$653&gt;='_motor'!$B$670,'_motor'!$H$653&lt;0.5*'_motor'!$B$670),"Determinante / entorno",IF(AND('_motor'!$G$653&gt;='_motor'!$B$670,'_motor'!$H$653&lt;'_motor'!$B$670),"Palanca secundaria",IF(AND('_motor'!$G$653&gt;='_motor'!$B$670,'_motor'!$H$653&gt;='_motor'!$B$670),"Clave / de enlace",IF(AND('_motor'!$H$653&gt;='_motor'!$B$670,'_motor'!$G$653&gt;=0.5*'_motor'!$B$670),"Objetivo",IF('_motor'!$H$653&gt;='_motor'!$B$670,"Resultado","Autónoma")))))))</f>
        <v/>
      </c>
    </row>
    <row r="74" spans="1:10" x14ac:dyDescent="0.2">
      <c r="A74" s="21">
        <f>IF('_motor'!$B$654=0,"",'02 · Variables'!$B$75)</f>
        <v/>
      </c>
      <c r="B74" s="19">
        <f>IF('_motor'!$B$654=0,"",'02 · Variables'!$C$75)</f>
        <v/>
      </c>
      <c r="C74" s="38">
        <f>IF('_motor'!$B$654=0,"",'_motor'!$G$654)</f>
        <v/>
      </c>
      <c r="D74" s="38">
        <f>IF('_motor'!$B$654=0,"",'_motor'!$H$654)</f>
        <v/>
      </c>
      <c r="E74" s="33">
        <f>IF(OR('_motor'!$B$654=0,'_motor'!$B$674=0),"",'_motor'!$G$654/'_motor'!$B$674)</f>
        <v/>
      </c>
      <c r="F74" s="33">
        <f>IF(OR('_motor'!$B$654=0,'_motor'!$B$674=0),"",'_motor'!$H$654/'_motor'!$B$674)</f>
        <v/>
      </c>
      <c r="G74" s="22">
        <f>IF('_motor'!$B$654=0,"",SUMPRODUCT('_motor'!$B$586:$B$665*('_motor'!$G$586:$G$665&gt;'_motor'!$G$654))+(SUMPRODUCT('_motor'!$B$586:$B$665*('_motor'!$G$586:$G$665='_motor'!$G$654))+1)/2)</f>
        <v/>
      </c>
      <c r="H74" s="22">
        <f>IF('_motor'!$B$654=0,"",SUMPRODUCT('_motor'!$B$586:$B$665*('_motor'!$H$586:$H$665&gt;'_motor'!$H$654))+(SUMPRODUCT('_motor'!$B$586:$B$665*('_motor'!$H$586:$H$665='_motor'!$H$654))+1)/2)</f>
        <v/>
      </c>
      <c r="I74" s="19">
        <f>IF('_motor'!$B$654=0,"",IF(AND(ABS('_motor'!$G$654-'_motor'!$B$670)&lt;='_motor'!$B$678+0.000000001,ABS('_motor'!$H$654-'_motor'!$B$670)&lt;='_motor'!$B$678+0.000000001),"5 · Pelotón (no concluyente)",IF(AND('_motor'!$G$654&gt;='_motor'!$B$670,'_motor'!$H$654&lt;'_motor'!$B$670),"1 · Entrada / determinante",IF(AND('_motor'!$G$654&gt;='_motor'!$B$670,'_motor'!$H$654&gt;='_motor'!$B$670),"2 · Intermedia / de enlace",IF(AND('_motor'!$G$654&lt;'_motor'!$B$670,'_motor'!$H$654&gt;='_motor'!$B$670),"3 · Resultado","4 · Excluida / autónoma")))))</f>
        <v/>
      </c>
      <c r="J74" s="19">
        <f>IF('_motor'!$B$654=0,"",IF(AND(ABS('_motor'!$G$654-'_motor'!$B$670)&lt;='_motor'!$B$678+0.000000001,ABS('_motor'!$H$654-'_motor'!$B$670)&lt;='_motor'!$B$678+0.000000001),"Reguladora",IF(AND('_motor'!$G$654&gt;='_motor'!$B$670,'_motor'!$H$654&lt;0.5*'_motor'!$B$670),"Determinante / entorno",IF(AND('_motor'!$G$654&gt;='_motor'!$B$670,'_motor'!$H$654&lt;'_motor'!$B$670),"Palanca secundaria",IF(AND('_motor'!$G$654&gt;='_motor'!$B$670,'_motor'!$H$654&gt;='_motor'!$B$670),"Clave / de enlace",IF(AND('_motor'!$H$654&gt;='_motor'!$B$670,'_motor'!$G$654&gt;=0.5*'_motor'!$B$670),"Objetivo",IF('_motor'!$H$654&gt;='_motor'!$B$670,"Resultado","Autónoma")))))))</f>
        <v/>
      </c>
    </row>
    <row r="75" spans="1:10" x14ac:dyDescent="0.2">
      <c r="A75" s="21">
        <f>IF('_motor'!$B$655=0,"",'02 · Variables'!$B$76)</f>
        <v/>
      </c>
      <c r="B75" s="19">
        <f>IF('_motor'!$B$655=0,"",'02 · Variables'!$C$76)</f>
        <v/>
      </c>
      <c r="C75" s="38">
        <f>IF('_motor'!$B$655=0,"",'_motor'!$G$655)</f>
        <v/>
      </c>
      <c r="D75" s="38">
        <f>IF('_motor'!$B$655=0,"",'_motor'!$H$655)</f>
        <v/>
      </c>
      <c r="E75" s="33">
        <f>IF(OR('_motor'!$B$655=0,'_motor'!$B$674=0),"",'_motor'!$G$655/'_motor'!$B$674)</f>
        <v/>
      </c>
      <c r="F75" s="33">
        <f>IF(OR('_motor'!$B$655=0,'_motor'!$B$674=0),"",'_motor'!$H$655/'_motor'!$B$674)</f>
        <v/>
      </c>
      <c r="G75" s="22">
        <f>IF('_motor'!$B$655=0,"",SUMPRODUCT('_motor'!$B$586:$B$665*('_motor'!$G$586:$G$665&gt;'_motor'!$G$655))+(SUMPRODUCT('_motor'!$B$586:$B$665*('_motor'!$G$586:$G$665='_motor'!$G$655))+1)/2)</f>
        <v/>
      </c>
      <c r="H75" s="22">
        <f>IF('_motor'!$B$655=0,"",SUMPRODUCT('_motor'!$B$586:$B$665*('_motor'!$H$586:$H$665&gt;'_motor'!$H$655))+(SUMPRODUCT('_motor'!$B$586:$B$665*('_motor'!$H$586:$H$665='_motor'!$H$655))+1)/2)</f>
        <v/>
      </c>
      <c r="I75" s="19">
        <f>IF('_motor'!$B$655=0,"",IF(AND(ABS('_motor'!$G$655-'_motor'!$B$670)&lt;='_motor'!$B$678+0.000000001,ABS('_motor'!$H$655-'_motor'!$B$670)&lt;='_motor'!$B$678+0.000000001),"5 · Pelotón (no concluyente)",IF(AND('_motor'!$G$655&gt;='_motor'!$B$670,'_motor'!$H$655&lt;'_motor'!$B$670),"1 · Entrada / determinante",IF(AND('_motor'!$G$655&gt;='_motor'!$B$670,'_motor'!$H$655&gt;='_motor'!$B$670),"2 · Intermedia / de enlace",IF(AND('_motor'!$G$655&lt;'_motor'!$B$670,'_motor'!$H$655&gt;='_motor'!$B$670),"3 · Resultado","4 · Excluida / autónoma")))))</f>
        <v/>
      </c>
      <c r="J75" s="19">
        <f>IF('_motor'!$B$655=0,"",IF(AND(ABS('_motor'!$G$655-'_motor'!$B$670)&lt;='_motor'!$B$678+0.000000001,ABS('_motor'!$H$655-'_motor'!$B$670)&lt;='_motor'!$B$678+0.000000001),"Reguladora",IF(AND('_motor'!$G$655&gt;='_motor'!$B$670,'_motor'!$H$655&lt;0.5*'_motor'!$B$670),"Determinante / entorno",IF(AND('_motor'!$G$655&gt;='_motor'!$B$670,'_motor'!$H$655&lt;'_motor'!$B$670),"Palanca secundaria",IF(AND('_motor'!$G$655&gt;='_motor'!$B$670,'_motor'!$H$655&gt;='_motor'!$B$670),"Clave / de enlace",IF(AND('_motor'!$H$655&gt;='_motor'!$B$670,'_motor'!$G$655&gt;=0.5*'_motor'!$B$670),"Objetivo",IF('_motor'!$H$655&gt;='_motor'!$B$670,"Resultado","Autónoma")))))))</f>
        <v/>
      </c>
    </row>
    <row r="76" spans="1:10" x14ac:dyDescent="0.2">
      <c r="A76" s="21">
        <f>IF('_motor'!$B$656=0,"",'02 · Variables'!$B$77)</f>
        <v/>
      </c>
      <c r="B76" s="19">
        <f>IF('_motor'!$B$656=0,"",'02 · Variables'!$C$77)</f>
        <v/>
      </c>
      <c r="C76" s="38">
        <f>IF('_motor'!$B$656=0,"",'_motor'!$G$656)</f>
        <v/>
      </c>
      <c r="D76" s="38">
        <f>IF('_motor'!$B$656=0,"",'_motor'!$H$656)</f>
        <v/>
      </c>
      <c r="E76" s="33">
        <f>IF(OR('_motor'!$B$656=0,'_motor'!$B$674=0),"",'_motor'!$G$656/'_motor'!$B$674)</f>
        <v/>
      </c>
      <c r="F76" s="33">
        <f>IF(OR('_motor'!$B$656=0,'_motor'!$B$674=0),"",'_motor'!$H$656/'_motor'!$B$674)</f>
        <v/>
      </c>
      <c r="G76" s="22">
        <f>IF('_motor'!$B$656=0,"",SUMPRODUCT('_motor'!$B$586:$B$665*('_motor'!$G$586:$G$665&gt;'_motor'!$G$656))+(SUMPRODUCT('_motor'!$B$586:$B$665*('_motor'!$G$586:$G$665='_motor'!$G$656))+1)/2)</f>
        <v/>
      </c>
      <c r="H76" s="22">
        <f>IF('_motor'!$B$656=0,"",SUMPRODUCT('_motor'!$B$586:$B$665*('_motor'!$H$586:$H$665&gt;'_motor'!$H$656))+(SUMPRODUCT('_motor'!$B$586:$B$665*('_motor'!$H$586:$H$665='_motor'!$H$656))+1)/2)</f>
        <v/>
      </c>
      <c r="I76" s="19">
        <f>IF('_motor'!$B$656=0,"",IF(AND(ABS('_motor'!$G$656-'_motor'!$B$670)&lt;='_motor'!$B$678+0.000000001,ABS('_motor'!$H$656-'_motor'!$B$670)&lt;='_motor'!$B$678+0.000000001),"5 · Pelotón (no concluyente)",IF(AND('_motor'!$G$656&gt;='_motor'!$B$670,'_motor'!$H$656&lt;'_motor'!$B$670),"1 · Entrada / determinante",IF(AND('_motor'!$G$656&gt;='_motor'!$B$670,'_motor'!$H$656&gt;='_motor'!$B$670),"2 · Intermedia / de enlace",IF(AND('_motor'!$G$656&lt;'_motor'!$B$670,'_motor'!$H$656&gt;='_motor'!$B$670),"3 · Resultado","4 · Excluida / autónoma")))))</f>
        <v/>
      </c>
      <c r="J76" s="19">
        <f>IF('_motor'!$B$656=0,"",IF(AND(ABS('_motor'!$G$656-'_motor'!$B$670)&lt;='_motor'!$B$678+0.000000001,ABS('_motor'!$H$656-'_motor'!$B$670)&lt;='_motor'!$B$678+0.000000001),"Reguladora",IF(AND('_motor'!$G$656&gt;='_motor'!$B$670,'_motor'!$H$656&lt;0.5*'_motor'!$B$670),"Determinante / entorno",IF(AND('_motor'!$G$656&gt;='_motor'!$B$670,'_motor'!$H$656&lt;'_motor'!$B$670),"Palanca secundaria",IF(AND('_motor'!$G$656&gt;='_motor'!$B$670,'_motor'!$H$656&gt;='_motor'!$B$670),"Clave / de enlace",IF(AND('_motor'!$H$656&gt;='_motor'!$B$670,'_motor'!$G$656&gt;=0.5*'_motor'!$B$670),"Objetivo",IF('_motor'!$H$656&gt;='_motor'!$B$670,"Resultado","Autónoma")))))))</f>
        <v/>
      </c>
    </row>
    <row r="77" spans="1:10" x14ac:dyDescent="0.2">
      <c r="A77" s="21">
        <f>IF('_motor'!$B$657=0,"",'02 · Variables'!$B$78)</f>
        <v/>
      </c>
      <c r="B77" s="19">
        <f>IF('_motor'!$B$657=0,"",'02 · Variables'!$C$78)</f>
        <v/>
      </c>
      <c r="C77" s="38">
        <f>IF('_motor'!$B$657=0,"",'_motor'!$G$657)</f>
        <v/>
      </c>
      <c r="D77" s="38">
        <f>IF('_motor'!$B$657=0,"",'_motor'!$H$657)</f>
        <v/>
      </c>
      <c r="E77" s="33">
        <f>IF(OR('_motor'!$B$657=0,'_motor'!$B$674=0),"",'_motor'!$G$657/'_motor'!$B$674)</f>
        <v/>
      </c>
      <c r="F77" s="33">
        <f>IF(OR('_motor'!$B$657=0,'_motor'!$B$674=0),"",'_motor'!$H$657/'_motor'!$B$674)</f>
        <v/>
      </c>
      <c r="G77" s="22">
        <f>IF('_motor'!$B$657=0,"",SUMPRODUCT('_motor'!$B$586:$B$665*('_motor'!$G$586:$G$665&gt;'_motor'!$G$657))+(SUMPRODUCT('_motor'!$B$586:$B$665*('_motor'!$G$586:$G$665='_motor'!$G$657))+1)/2)</f>
        <v/>
      </c>
      <c r="H77" s="22">
        <f>IF('_motor'!$B$657=0,"",SUMPRODUCT('_motor'!$B$586:$B$665*('_motor'!$H$586:$H$665&gt;'_motor'!$H$657))+(SUMPRODUCT('_motor'!$B$586:$B$665*('_motor'!$H$586:$H$665='_motor'!$H$657))+1)/2)</f>
        <v/>
      </c>
      <c r="I77" s="19">
        <f>IF('_motor'!$B$657=0,"",IF(AND(ABS('_motor'!$G$657-'_motor'!$B$670)&lt;='_motor'!$B$678+0.000000001,ABS('_motor'!$H$657-'_motor'!$B$670)&lt;='_motor'!$B$678+0.000000001),"5 · Pelotón (no concluyente)",IF(AND('_motor'!$G$657&gt;='_motor'!$B$670,'_motor'!$H$657&lt;'_motor'!$B$670),"1 · Entrada / determinante",IF(AND('_motor'!$G$657&gt;='_motor'!$B$670,'_motor'!$H$657&gt;='_motor'!$B$670),"2 · Intermedia / de enlace",IF(AND('_motor'!$G$657&lt;'_motor'!$B$670,'_motor'!$H$657&gt;='_motor'!$B$670),"3 · Resultado","4 · Excluida / autónoma")))))</f>
        <v/>
      </c>
      <c r="J77" s="19">
        <f>IF('_motor'!$B$657=0,"",IF(AND(ABS('_motor'!$G$657-'_motor'!$B$670)&lt;='_motor'!$B$678+0.000000001,ABS('_motor'!$H$657-'_motor'!$B$670)&lt;='_motor'!$B$678+0.000000001),"Reguladora",IF(AND('_motor'!$G$657&gt;='_motor'!$B$670,'_motor'!$H$657&lt;0.5*'_motor'!$B$670),"Determinante / entorno",IF(AND('_motor'!$G$657&gt;='_motor'!$B$670,'_motor'!$H$657&lt;'_motor'!$B$670),"Palanca secundaria",IF(AND('_motor'!$G$657&gt;='_motor'!$B$670,'_motor'!$H$657&gt;='_motor'!$B$670),"Clave / de enlace",IF(AND('_motor'!$H$657&gt;='_motor'!$B$670,'_motor'!$G$657&gt;=0.5*'_motor'!$B$670),"Objetivo",IF('_motor'!$H$657&gt;='_motor'!$B$670,"Resultado","Autónoma")))))))</f>
        <v/>
      </c>
    </row>
    <row r="78" spans="1:10" x14ac:dyDescent="0.2">
      <c r="A78" s="21">
        <f>IF('_motor'!$B$658=0,"",'02 · Variables'!$B$79)</f>
        <v/>
      </c>
      <c r="B78" s="19">
        <f>IF('_motor'!$B$658=0,"",'02 · Variables'!$C$79)</f>
        <v/>
      </c>
      <c r="C78" s="38">
        <f>IF('_motor'!$B$658=0,"",'_motor'!$G$658)</f>
        <v/>
      </c>
      <c r="D78" s="38">
        <f>IF('_motor'!$B$658=0,"",'_motor'!$H$658)</f>
        <v/>
      </c>
      <c r="E78" s="33">
        <f>IF(OR('_motor'!$B$658=0,'_motor'!$B$674=0),"",'_motor'!$G$658/'_motor'!$B$674)</f>
        <v/>
      </c>
      <c r="F78" s="33">
        <f>IF(OR('_motor'!$B$658=0,'_motor'!$B$674=0),"",'_motor'!$H$658/'_motor'!$B$674)</f>
        <v/>
      </c>
      <c r="G78" s="22">
        <f>IF('_motor'!$B$658=0,"",SUMPRODUCT('_motor'!$B$586:$B$665*('_motor'!$G$586:$G$665&gt;'_motor'!$G$658))+(SUMPRODUCT('_motor'!$B$586:$B$665*('_motor'!$G$586:$G$665='_motor'!$G$658))+1)/2)</f>
        <v/>
      </c>
      <c r="H78" s="22">
        <f>IF('_motor'!$B$658=0,"",SUMPRODUCT('_motor'!$B$586:$B$665*('_motor'!$H$586:$H$665&gt;'_motor'!$H$658))+(SUMPRODUCT('_motor'!$B$586:$B$665*('_motor'!$H$586:$H$665='_motor'!$H$658))+1)/2)</f>
        <v/>
      </c>
      <c r="I78" s="19">
        <f>IF('_motor'!$B$658=0,"",IF(AND(ABS('_motor'!$G$658-'_motor'!$B$670)&lt;='_motor'!$B$678+0.000000001,ABS('_motor'!$H$658-'_motor'!$B$670)&lt;='_motor'!$B$678+0.000000001),"5 · Pelotón (no concluyente)",IF(AND('_motor'!$G$658&gt;='_motor'!$B$670,'_motor'!$H$658&lt;'_motor'!$B$670),"1 · Entrada / determinante",IF(AND('_motor'!$G$658&gt;='_motor'!$B$670,'_motor'!$H$658&gt;='_motor'!$B$670),"2 · Intermedia / de enlace",IF(AND('_motor'!$G$658&lt;'_motor'!$B$670,'_motor'!$H$658&gt;='_motor'!$B$670),"3 · Resultado","4 · Excluida / autónoma")))))</f>
        <v/>
      </c>
      <c r="J78" s="19">
        <f>IF('_motor'!$B$658=0,"",IF(AND(ABS('_motor'!$G$658-'_motor'!$B$670)&lt;='_motor'!$B$678+0.000000001,ABS('_motor'!$H$658-'_motor'!$B$670)&lt;='_motor'!$B$678+0.000000001),"Reguladora",IF(AND('_motor'!$G$658&gt;='_motor'!$B$670,'_motor'!$H$658&lt;0.5*'_motor'!$B$670),"Determinante / entorno",IF(AND('_motor'!$G$658&gt;='_motor'!$B$670,'_motor'!$H$658&lt;'_motor'!$B$670),"Palanca secundaria",IF(AND('_motor'!$G$658&gt;='_motor'!$B$670,'_motor'!$H$658&gt;='_motor'!$B$670),"Clave / de enlace",IF(AND('_motor'!$H$658&gt;='_motor'!$B$670,'_motor'!$G$658&gt;=0.5*'_motor'!$B$670),"Objetivo",IF('_motor'!$H$658&gt;='_motor'!$B$670,"Resultado","Autónoma")))))))</f>
        <v/>
      </c>
    </row>
    <row r="79" spans="1:10" x14ac:dyDescent="0.2">
      <c r="A79" s="21">
        <f>IF('_motor'!$B$659=0,"",'02 · Variables'!$B$80)</f>
        <v/>
      </c>
      <c r="B79" s="19">
        <f>IF('_motor'!$B$659=0,"",'02 · Variables'!$C$80)</f>
        <v/>
      </c>
      <c r="C79" s="38">
        <f>IF('_motor'!$B$659=0,"",'_motor'!$G$659)</f>
        <v/>
      </c>
      <c r="D79" s="38">
        <f>IF('_motor'!$B$659=0,"",'_motor'!$H$659)</f>
        <v/>
      </c>
      <c r="E79" s="33">
        <f>IF(OR('_motor'!$B$659=0,'_motor'!$B$674=0),"",'_motor'!$G$659/'_motor'!$B$674)</f>
        <v/>
      </c>
      <c r="F79" s="33">
        <f>IF(OR('_motor'!$B$659=0,'_motor'!$B$674=0),"",'_motor'!$H$659/'_motor'!$B$674)</f>
        <v/>
      </c>
      <c r="G79" s="22">
        <f>IF('_motor'!$B$659=0,"",SUMPRODUCT('_motor'!$B$586:$B$665*('_motor'!$G$586:$G$665&gt;'_motor'!$G$659))+(SUMPRODUCT('_motor'!$B$586:$B$665*('_motor'!$G$586:$G$665='_motor'!$G$659))+1)/2)</f>
        <v/>
      </c>
      <c r="H79" s="22">
        <f>IF('_motor'!$B$659=0,"",SUMPRODUCT('_motor'!$B$586:$B$665*('_motor'!$H$586:$H$665&gt;'_motor'!$H$659))+(SUMPRODUCT('_motor'!$B$586:$B$665*('_motor'!$H$586:$H$665='_motor'!$H$659))+1)/2)</f>
        <v/>
      </c>
      <c r="I79" s="19">
        <f>IF('_motor'!$B$659=0,"",IF(AND(ABS('_motor'!$G$659-'_motor'!$B$670)&lt;='_motor'!$B$678+0.000000001,ABS('_motor'!$H$659-'_motor'!$B$670)&lt;='_motor'!$B$678+0.000000001),"5 · Pelotón (no concluyente)",IF(AND('_motor'!$G$659&gt;='_motor'!$B$670,'_motor'!$H$659&lt;'_motor'!$B$670),"1 · Entrada / determinante",IF(AND('_motor'!$G$659&gt;='_motor'!$B$670,'_motor'!$H$659&gt;='_motor'!$B$670),"2 · Intermedia / de enlace",IF(AND('_motor'!$G$659&lt;'_motor'!$B$670,'_motor'!$H$659&gt;='_motor'!$B$670),"3 · Resultado","4 · Excluida / autónoma")))))</f>
        <v/>
      </c>
      <c r="J79" s="19">
        <f>IF('_motor'!$B$659=0,"",IF(AND(ABS('_motor'!$G$659-'_motor'!$B$670)&lt;='_motor'!$B$678+0.000000001,ABS('_motor'!$H$659-'_motor'!$B$670)&lt;='_motor'!$B$678+0.000000001),"Reguladora",IF(AND('_motor'!$G$659&gt;='_motor'!$B$670,'_motor'!$H$659&lt;0.5*'_motor'!$B$670),"Determinante / entorno",IF(AND('_motor'!$G$659&gt;='_motor'!$B$670,'_motor'!$H$659&lt;'_motor'!$B$670),"Palanca secundaria",IF(AND('_motor'!$G$659&gt;='_motor'!$B$670,'_motor'!$H$659&gt;='_motor'!$B$670),"Clave / de enlace",IF(AND('_motor'!$H$659&gt;='_motor'!$B$670,'_motor'!$G$659&gt;=0.5*'_motor'!$B$670),"Objetivo",IF('_motor'!$H$659&gt;='_motor'!$B$670,"Resultado","Autónoma")))))))</f>
        <v/>
      </c>
    </row>
    <row r="80" spans="1:10" x14ac:dyDescent="0.2">
      <c r="A80" s="21">
        <f>IF('_motor'!$B$660=0,"",'02 · Variables'!$B$81)</f>
        <v/>
      </c>
      <c r="B80" s="19">
        <f>IF('_motor'!$B$660=0,"",'02 · Variables'!$C$81)</f>
        <v/>
      </c>
      <c r="C80" s="38">
        <f>IF('_motor'!$B$660=0,"",'_motor'!$G$660)</f>
        <v/>
      </c>
      <c r="D80" s="38">
        <f>IF('_motor'!$B$660=0,"",'_motor'!$H$660)</f>
        <v/>
      </c>
      <c r="E80" s="33">
        <f>IF(OR('_motor'!$B$660=0,'_motor'!$B$674=0),"",'_motor'!$G$660/'_motor'!$B$674)</f>
        <v/>
      </c>
      <c r="F80" s="33">
        <f>IF(OR('_motor'!$B$660=0,'_motor'!$B$674=0),"",'_motor'!$H$660/'_motor'!$B$674)</f>
        <v/>
      </c>
      <c r="G80" s="22">
        <f>IF('_motor'!$B$660=0,"",SUMPRODUCT('_motor'!$B$586:$B$665*('_motor'!$G$586:$G$665&gt;'_motor'!$G$660))+(SUMPRODUCT('_motor'!$B$586:$B$665*('_motor'!$G$586:$G$665='_motor'!$G$660))+1)/2)</f>
        <v/>
      </c>
      <c r="H80" s="22">
        <f>IF('_motor'!$B$660=0,"",SUMPRODUCT('_motor'!$B$586:$B$665*('_motor'!$H$586:$H$665&gt;'_motor'!$H$660))+(SUMPRODUCT('_motor'!$B$586:$B$665*('_motor'!$H$586:$H$665='_motor'!$H$660))+1)/2)</f>
        <v/>
      </c>
      <c r="I80" s="19">
        <f>IF('_motor'!$B$660=0,"",IF(AND(ABS('_motor'!$G$660-'_motor'!$B$670)&lt;='_motor'!$B$678+0.000000001,ABS('_motor'!$H$660-'_motor'!$B$670)&lt;='_motor'!$B$678+0.000000001),"5 · Pelotón (no concluyente)",IF(AND('_motor'!$G$660&gt;='_motor'!$B$670,'_motor'!$H$660&lt;'_motor'!$B$670),"1 · Entrada / determinante",IF(AND('_motor'!$G$660&gt;='_motor'!$B$670,'_motor'!$H$660&gt;='_motor'!$B$670),"2 · Intermedia / de enlace",IF(AND('_motor'!$G$660&lt;'_motor'!$B$670,'_motor'!$H$660&gt;='_motor'!$B$670),"3 · Resultado","4 · Excluida / autónoma")))))</f>
        <v/>
      </c>
      <c r="J80" s="19">
        <f>IF('_motor'!$B$660=0,"",IF(AND(ABS('_motor'!$G$660-'_motor'!$B$670)&lt;='_motor'!$B$678+0.000000001,ABS('_motor'!$H$660-'_motor'!$B$670)&lt;='_motor'!$B$678+0.000000001),"Reguladora",IF(AND('_motor'!$G$660&gt;='_motor'!$B$670,'_motor'!$H$660&lt;0.5*'_motor'!$B$670),"Determinante / entorno",IF(AND('_motor'!$G$660&gt;='_motor'!$B$670,'_motor'!$H$660&lt;'_motor'!$B$670),"Palanca secundaria",IF(AND('_motor'!$G$660&gt;='_motor'!$B$670,'_motor'!$H$660&gt;='_motor'!$B$670),"Clave / de enlace",IF(AND('_motor'!$H$660&gt;='_motor'!$B$670,'_motor'!$G$660&gt;=0.5*'_motor'!$B$670),"Objetivo",IF('_motor'!$H$660&gt;='_motor'!$B$670,"Resultado","Autónoma")))))))</f>
        <v/>
      </c>
    </row>
    <row r="81" spans="1:10" x14ac:dyDescent="0.2">
      <c r="A81" s="21">
        <f>IF('_motor'!$B$661=0,"",'02 · Variables'!$B$82)</f>
        <v/>
      </c>
      <c r="B81" s="19">
        <f>IF('_motor'!$B$661=0,"",'02 · Variables'!$C$82)</f>
        <v/>
      </c>
      <c r="C81" s="38">
        <f>IF('_motor'!$B$661=0,"",'_motor'!$G$661)</f>
        <v/>
      </c>
      <c r="D81" s="38">
        <f>IF('_motor'!$B$661=0,"",'_motor'!$H$661)</f>
        <v/>
      </c>
      <c r="E81" s="33">
        <f>IF(OR('_motor'!$B$661=0,'_motor'!$B$674=0),"",'_motor'!$G$661/'_motor'!$B$674)</f>
        <v/>
      </c>
      <c r="F81" s="33">
        <f>IF(OR('_motor'!$B$661=0,'_motor'!$B$674=0),"",'_motor'!$H$661/'_motor'!$B$674)</f>
        <v/>
      </c>
      <c r="G81" s="22">
        <f>IF('_motor'!$B$661=0,"",SUMPRODUCT('_motor'!$B$586:$B$665*('_motor'!$G$586:$G$665&gt;'_motor'!$G$661))+(SUMPRODUCT('_motor'!$B$586:$B$665*('_motor'!$G$586:$G$665='_motor'!$G$661))+1)/2)</f>
        <v/>
      </c>
      <c r="H81" s="22">
        <f>IF('_motor'!$B$661=0,"",SUMPRODUCT('_motor'!$B$586:$B$665*('_motor'!$H$586:$H$665&gt;'_motor'!$H$661))+(SUMPRODUCT('_motor'!$B$586:$B$665*('_motor'!$H$586:$H$665='_motor'!$H$661))+1)/2)</f>
        <v/>
      </c>
      <c r="I81" s="19">
        <f>IF('_motor'!$B$661=0,"",IF(AND(ABS('_motor'!$G$661-'_motor'!$B$670)&lt;='_motor'!$B$678+0.000000001,ABS('_motor'!$H$661-'_motor'!$B$670)&lt;='_motor'!$B$678+0.000000001),"5 · Pelotón (no concluyente)",IF(AND('_motor'!$G$661&gt;='_motor'!$B$670,'_motor'!$H$661&lt;'_motor'!$B$670),"1 · Entrada / determinante",IF(AND('_motor'!$G$661&gt;='_motor'!$B$670,'_motor'!$H$661&gt;='_motor'!$B$670),"2 · Intermedia / de enlace",IF(AND('_motor'!$G$661&lt;'_motor'!$B$670,'_motor'!$H$661&gt;='_motor'!$B$670),"3 · Resultado","4 · Excluida / autónoma")))))</f>
        <v/>
      </c>
      <c r="J81" s="19">
        <f>IF('_motor'!$B$661=0,"",IF(AND(ABS('_motor'!$G$661-'_motor'!$B$670)&lt;='_motor'!$B$678+0.000000001,ABS('_motor'!$H$661-'_motor'!$B$670)&lt;='_motor'!$B$678+0.000000001),"Reguladora",IF(AND('_motor'!$G$661&gt;='_motor'!$B$670,'_motor'!$H$661&lt;0.5*'_motor'!$B$670),"Determinante / entorno",IF(AND('_motor'!$G$661&gt;='_motor'!$B$670,'_motor'!$H$661&lt;'_motor'!$B$670),"Palanca secundaria",IF(AND('_motor'!$G$661&gt;='_motor'!$B$670,'_motor'!$H$661&gt;='_motor'!$B$670),"Clave / de enlace",IF(AND('_motor'!$H$661&gt;='_motor'!$B$670,'_motor'!$G$661&gt;=0.5*'_motor'!$B$670),"Objetivo",IF('_motor'!$H$661&gt;='_motor'!$B$670,"Resultado","Autónoma")))))))</f>
        <v/>
      </c>
    </row>
    <row r="82" spans="1:10" x14ac:dyDescent="0.2">
      <c r="A82" s="21">
        <f>IF('_motor'!$B$662=0,"",'02 · Variables'!$B$83)</f>
        <v/>
      </c>
      <c r="B82" s="19">
        <f>IF('_motor'!$B$662=0,"",'02 · Variables'!$C$83)</f>
        <v/>
      </c>
      <c r="C82" s="38">
        <f>IF('_motor'!$B$662=0,"",'_motor'!$G$662)</f>
        <v/>
      </c>
      <c r="D82" s="38">
        <f>IF('_motor'!$B$662=0,"",'_motor'!$H$662)</f>
        <v/>
      </c>
      <c r="E82" s="33">
        <f>IF(OR('_motor'!$B$662=0,'_motor'!$B$674=0),"",'_motor'!$G$662/'_motor'!$B$674)</f>
        <v/>
      </c>
      <c r="F82" s="33">
        <f>IF(OR('_motor'!$B$662=0,'_motor'!$B$674=0),"",'_motor'!$H$662/'_motor'!$B$674)</f>
        <v/>
      </c>
      <c r="G82" s="22">
        <f>IF('_motor'!$B$662=0,"",SUMPRODUCT('_motor'!$B$586:$B$665*('_motor'!$G$586:$G$665&gt;'_motor'!$G$662))+(SUMPRODUCT('_motor'!$B$586:$B$665*('_motor'!$G$586:$G$665='_motor'!$G$662))+1)/2)</f>
        <v/>
      </c>
      <c r="H82" s="22">
        <f>IF('_motor'!$B$662=0,"",SUMPRODUCT('_motor'!$B$586:$B$665*('_motor'!$H$586:$H$665&gt;'_motor'!$H$662))+(SUMPRODUCT('_motor'!$B$586:$B$665*('_motor'!$H$586:$H$665='_motor'!$H$662))+1)/2)</f>
        <v/>
      </c>
      <c r="I82" s="19">
        <f>IF('_motor'!$B$662=0,"",IF(AND(ABS('_motor'!$G$662-'_motor'!$B$670)&lt;='_motor'!$B$678+0.000000001,ABS('_motor'!$H$662-'_motor'!$B$670)&lt;='_motor'!$B$678+0.000000001),"5 · Pelotón (no concluyente)",IF(AND('_motor'!$G$662&gt;='_motor'!$B$670,'_motor'!$H$662&lt;'_motor'!$B$670),"1 · Entrada / determinante",IF(AND('_motor'!$G$662&gt;='_motor'!$B$670,'_motor'!$H$662&gt;='_motor'!$B$670),"2 · Intermedia / de enlace",IF(AND('_motor'!$G$662&lt;'_motor'!$B$670,'_motor'!$H$662&gt;='_motor'!$B$670),"3 · Resultado","4 · Excluida / autónoma")))))</f>
        <v/>
      </c>
      <c r="J82" s="19">
        <f>IF('_motor'!$B$662=0,"",IF(AND(ABS('_motor'!$G$662-'_motor'!$B$670)&lt;='_motor'!$B$678+0.000000001,ABS('_motor'!$H$662-'_motor'!$B$670)&lt;='_motor'!$B$678+0.000000001),"Reguladora",IF(AND('_motor'!$G$662&gt;='_motor'!$B$670,'_motor'!$H$662&lt;0.5*'_motor'!$B$670),"Determinante / entorno",IF(AND('_motor'!$G$662&gt;='_motor'!$B$670,'_motor'!$H$662&lt;'_motor'!$B$670),"Palanca secundaria",IF(AND('_motor'!$G$662&gt;='_motor'!$B$670,'_motor'!$H$662&gt;='_motor'!$B$670),"Clave / de enlace",IF(AND('_motor'!$H$662&gt;='_motor'!$B$670,'_motor'!$G$662&gt;=0.5*'_motor'!$B$670),"Objetivo",IF('_motor'!$H$662&gt;='_motor'!$B$670,"Resultado","Autónoma")))))))</f>
        <v/>
      </c>
    </row>
    <row r="83" spans="1:10" x14ac:dyDescent="0.2">
      <c r="A83" s="21">
        <f>IF('_motor'!$B$663=0,"",'02 · Variables'!$B$84)</f>
        <v/>
      </c>
      <c r="B83" s="19">
        <f>IF('_motor'!$B$663=0,"",'02 · Variables'!$C$84)</f>
        <v/>
      </c>
      <c r="C83" s="38">
        <f>IF('_motor'!$B$663=0,"",'_motor'!$G$663)</f>
        <v/>
      </c>
      <c r="D83" s="38">
        <f>IF('_motor'!$B$663=0,"",'_motor'!$H$663)</f>
        <v/>
      </c>
      <c r="E83" s="33">
        <f>IF(OR('_motor'!$B$663=0,'_motor'!$B$674=0),"",'_motor'!$G$663/'_motor'!$B$674)</f>
        <v/>
      </c>
      <c r="F83" s="33">
        <f>IF(OR('_motor'!$B$663=0,'_motor'!$B$674=0),"",'_motor'!$H$663/'_motor'!$B$674)</f>
        <v/>
      </c>
      <c r="G83" s="22">
        <f>IF('_motor'!$B$663=0,"",SUMPRODUCT('_motor'!$B$586:$B$665*('_motor'!$G$586:$G$665&gt;'_motor'!$G$663))+(SUMPRODUCT('_motor'!$B$586:$B$665*('_motor'!$G$586:$G$665='_motor'!$G$663))+1)/2)</f>
        <v/>
      </c>
      <c r="H83" s="22">
        <f>IF('_motor'!$B$663=0,"",SUMPRODUCT('_motor'!$B$586:$B$665*('_motor'!$H$586:$H$665&gt;'_motor'!$H$663))+(SUMPRODUCT('_motor'!$B$586:$B$665*('_motor'!$H$586:$H$665='_motor'!$H$663))+1)/2)</f>
        <v/>
      </c>
      <c r="I83" s="19">
        <f>IF('_motor'!$B$663=0,"",IF(AND(ABS('_motor'!$G$663-'_motor'!$B$670)&lt;='_motor'!$B$678+0.000000001,ABS('_motor'!$H$663-'_motor'!$B$670)&lt;='_motor'!$B$678+0.000000001),"5 · Pelotón (no concluyente)",IF(AND('_motor'!$G$663&gt;='_motor'!$B$670,'_motor'!$H$663&lt;'_motor'!$B$670),"1 · Entrada / determinante",IF(AND('_motor'!$G$663&gt;='_motor'!$B$670,'_motor'!$H$663&gt;='_motor'!$B$670),"2 · Intermedia / de enlace",IF(AND('_motor'!$G$663&lt;'_motor'!$B$670,'_motor'!$H$663&gt;='_motor'!$B$670),"3 · Resultado","4 · Excluida / autónoma")))))</f>
        <v/>
      </c>
      <c r="J83" s="19">
        <f>IF('_motor'!$B$663=0,"",IF(AND(ABS('_motor'!$G$663-'_motor'!$B$670)&lt;='_motor'!$B$678+0.000000001,ABS('_motor'!$H$663-'_motor'!$B$670)&lt;='_motor'!$B$678+0.000000001),"Reguladora",IF(AND('_motor'!$G$663&gt;='_motor'!$B$670,'_motor'!$H$663&lt;0.5*'_motor'!$B$670),"Determinante / entorno",IF(AND('_motor'!$G$663&gt;='_motor'!$B$670,'_motor'!$H$663&lt;'_motor'!$B$670),"Palanca secundaria",IF(AND('_motor'!$G$663&gt;='_motor'!$B$670,'_motor'!$H$663&gt;='_motor'!$B$670),"Clave / de enlace",IF(AND('_motor'!$H$663&gt;='_motor'!$B$670,'_motor'!$G$663&gt;=0.5*'_motor'!$B$670),"Objetivo",IF('_motor'!$H$663&gt;='_motor'!$B$670,"Resultado","Autónoma")))))))</f>
        <v/>
      </c>
    </row>
    <row r="84" spans="1:10" x14ac:dyDescent="0.2">
      <c r="A84" s="21">
        <f>IF('_motor'!$B$664=0,"",'02 · Variables'!$B$85)</f>
        <v/>
      </c>
      <c r="B84" s="19">
        <f>IF('_motor'!$B$664=0,"",'02 · Variables'!$C$85)</f>
        <v/>
      </c>
      <c r="C84" s="38">
        <f>IF('_motor'!$B$664=0,"",'_motor'!$G$664)</f>
        <v/>
      </c>
      <c r="D84" s="38">
        <f>IF('_motor'!$B$664=0,"",'_motor'!$H$664)</f>
        <v/>
      </c>
      <c r="E84" s="33">
        <f>IF(OR('_motor'!$B$664=0,'_motor'!$B$674=0),"",'_motor'!$G$664/'_motor'!$B$674)</f>
        <v/>
      </c>
      <c r="F84" s="33">
        <f>IF(OR('_motor'!$B$664=0,'_motor'!$B$674=0),"",'_motor'!$H$664/'_motor'!$B$674)</f>
        <v/>
      </c>
      <c r="G84" s="22">
        <f>IF('_motor'!$B$664=0,"",SUMPRODUCT('_motor'!$B$586:$B$665*('_motor'!$G$586:$G$665&gt;'_motor'!$G$664))+(SUMPRODUCT('_motor'!$B$586:$B$665*('_motor'!$G$586:$G$665='_motor'!$G$664))+1)/2)</f>
        <v/>
      </c>
      <c r="H84" s="22">
        <f>IF('_motor'!$B$664=0,"",SUMPRODUCT('_motor'!$B$586:$B$665*('_motor'!$H$586:$H$665&gt;'_motor'!$H$664))+(SUMPRODUCT('_motor'!$B$586:$B$665*('_motor'!$H$586:$H$665='_motor'!$H$664))+1)/2)</f>
        <v/>
      </c>
      <c r="I84" s="19">
        <f>IF('_motor'!$B$664=0,"",IF(AND(ABS('_motor'!$G$664-'_motor'!$B$670)&lt;='_motor'!$B$678+0.000000001,ABS('_motor'!$H$664-'_motor'!$B$670)&lt;='_motor'!$B$678+0.000000001),"5 · Pelotón (no concluyente)",IF(AND('_motor'!$G$664&gt;='_motor'!$B$670,'_motor'!$H$664&lt;'_motor'!$B$670),"1 · Entrada / determinante",IF(AND('_motor'!$G$664&gt;='_motor'!$B$670,'_motor'!$H$664&gt;='_motor'!$B$670),"2 · Intermedia / de enlace",IF(AND('_motor'!$G$664&lt;'_motor'!$B$670,'_motor'!$H$664&gt;='_motor'!$B$670),"3 · Resultado","4 · Excluida / autónoma")))))</f>
        <v/>
      </c>
      <c r="J84" s="19">
        <f>IF('_motor'!$B$664=0,"",IF(AND(ABS('_motor'!$G$664-'_motor'!$B$670)&lt;='_motor'!$B$678+0.000000001,ABS('_motor'!$H$664-'_motor'!$B$670)&lt;='_motor'!$B$678+0.000000001),"Reguladora",IF(AND('_motor'!$G$664&gt;='_motor'!$B$670,'_motor'!$H$664&lt;0.5*'_motor'!$B$670),"Determinante / entorno",IF(AND('_motor'!$G$664&gt;='_motor'!$B$670,'_motor'!$H$664&lt;'_motor'!$B$670),"Palanca secundaria",IF(AND('_motor'!$G$664&gt;='_motor'!$B$670,'_motor'!$H$664&gt;='_motor'!$B$670),"Clave / de enlace",IF(AND('_motor'!$H$664&gt;='_motor'!$B$670,'_motor'!$G$664&gt;=0.5*'_motor'!$B$670),"Objetivo",IF('_motor'!$H$664&gt;='_motor'!$B$670,"Resultado","Autónoma")))))))</f>
        <v/>
      </c>
    </row>
    <row r="85" spans="1:10" x14ac:dyDescent="0.2">
      <c r="A85" s="21">
        <f>IF('_motor'!$B$665=0,"",'02 · Variables'!$B$86)</f>
        <v/>
      </c>
      <c r="B85" s="19">
        <f>IF('_motor'!$B$665=0,"",'02 · Variables'!$C$86)</f>
        <v/>
      </c>
      <c r="C85" s="38">
        <f>IF('_motor'!$B$665=0,"",'_motor'!$G$665)</f>
        <v/>
      </c>
      <c r="D85" s="38">
        <f>IF('_motor'!$B$665=0,"",'_motor'!$H$665)</f>
        <v/>
      </c>
      <c r="E85" s="33">
        <f>IF(OR('_motor'!$B$665=0,'_motor'!$B$674=0),"",'_motor'!$G$665/'_motor'!$B$674)</f>
        <v/>
      </c>
      <c r="F85" s="33">
        <f>IF(OR('_motor'!$B$665=0,'_motor'!$B$674=0),"",'_motor'!$H$665/'_motor'!$B$674)</f>
        <v/>
      </c>
      <c r="G85" s="22">
        <f>IF('_motor'!$B$665=0,"",SUMPRODUCT('_motor'!$B$586:$B$665*('_motor'!$G$586:$G$665&gt;'_motor'!$G$665))+(SUMPRODUCT('_motor'!$B$586:$B$665*('_motor'!$G$586:$G$665='_motor'!$G$665))+1)/2)</f>
        <v/>
      </c>
      <c r="H85" s="22">
        <f>IF('_motor'!$B$665=0,"",SUMPRODUCT('_motor'!$B$586:$B$665*('_motor'!$H$586:$H$665&gt;'_motor'!$H$665))+(SUMPRODUCT('_motor'!$B$586:$B$665*('_motor'!$H$586:$H$665='_motor'!$H$665))+1)/2)</f>
        <v/>
      </c>
      <c r="I85" s="19">
        <f>IF('_motor'!$B$665=0,"",IF(AND(ABS('_motor'!$G$665-'_motor'!$B$670)&lt;='_motor'!$B$678+0.000000001,ABS('_motor'!$H$665-'_motor'!$B$670)&lt;='_motor'!$B$678+0.000000001),"5 · Pelotón (no concluyente)",IF(AND('_motor'!$G$665&gt;='_motor'!$B$670,'_motor'!$H$665&lt;'_motor'!$B$670),"1 · Entrada / determinante",IF(AND('_motor'!$G$665&gt;='_motor'!$B$670,'_motor'!$H$665&gt;='_motor'!$B$670),"2 · Intermedia / de enlace",IF(AND('_motor'!$G$665&lt;'_motor'!$B$670,'_motor'!$H$665&gt;='_motor'!$B$670),"3 · Resultado","4 · Excluida / autónoma")))))</f>
        <v/>
      </c>
      <c r="J85" s="19">
        <f>IF('_motor'!$B$665=0,"",IF(AND(ABS('_motor'!$G$665-'_motor'!$B$670)&lt;='_motor'!$B$678+0.000000001,ABS('_motor'!$H$665-'_motor'!$B$670)&lt;='_motor'!$B$678+0.000000001),"Reguladora",IF(AND('_motor'!$G$665&gt;='_motor'!$B$670,'_motor'!$H$665&lt;0.5*'_motor'!$B$670),"Determinante / entorno",IF(AND('_motor'!$G$665&gt;='_motor'!$B$670,'_motor'!$H$665&lt;'_motor'!$B$670),"Palanca secundaria",IF(AND('_motor'!$G$665&gt;='_motor'!$B$670,'_motor'!$H$665&gt;='_motor'!$B$670),"Clave / de enlace",IF(AND('_motor'!$H$665&gt;='_motor'!$B$670,'_motor'!$G$665&gt;=0.5*'_motor'!$B$670),"Objetivo",IF('_motor'!$H$665&gt;='_motor'!$B$670,"Resultado","Autónoma")))))))</f>
        <v/>
      </c>
    </row>
    <row r="87" spans="1:10" ht="30" x14ac:dyDescent="0.2">
      <c r="B87" s="16" t="s">
        <v>388</v>
      </c>
      <c r="C87" s="39">
        <f>'_motor'!$B$670</f>
      </c>
    </row>
    <row r="88" spans="1:10" ht="30" x14ac:dyDescent="0.2">
      <c r="B88" s="16" t="s">
        <v>389</v>
      </c>
      <c r="C88" s="39">
        <f>'_motor'!$B$678</f>
      </c>
    </row>
    <row r="89" spans="1:10" ht="23.75" customHeight="1" x14ac:dyDescent="0.2">
      <c r="B89" s="16" t="s">
        <v>390</v>
      </c>
      <c r="C89" s="2" t="s">
        <v>391</v>
      </c>
      <c r="D89" s="2"/>
      <c r="E89" s="2"/>
      <c r="F89" s="2"/>
      <c r="G89" s="2"/>
      <c r="H89" s="2"/>
      <c r="I89" s="2"/>
      <c r="J89" s="2"/>
    </row>
  </sheetData>
  <sheetProtection password="CD7E" sheet="1" formatCells="0" formatColumns="0" formatRows="0" insertRows="0"/>
  <mergeCells count="1">
    <mergeCell ref="C89:J89"/>
  </mergeCells>
  <conditionalFormatting sqref="I6:I85">
    <cfRule type="expression" dxfId="23" priority="2">
      <formula>ISNUMBER(SEARCH("1 ·",$I6))</formula>
    </cfRule>
    <cfRule type="expression" dxfId="22" priority="3">
      <formula>ISNUMBER(SEARCH("2 ·",$I6))</formula>
    </cfRule>
    <cfRule type="expression" dxfId="21" priority="4">
      <formula>ISNUMBER(SEARCH("3 ·",$I6))</formula>
    </cfRule>
    <cfRule type="expression" dxfId="20" priority="5">
      <formula>ISNUMBER(SEARCH("4 ·",$I6))</formula>
    </cfRule>
    <cfRule type="expression" dxfId="19" priority="6">
      <formula>ISNUMBER(SEARCH("5 ·",$I6))</formula>
    </cfRule>
  </conditionalFormatting>
  <pageMargins left="0.5" right="0.5" top="0.6" bottom="0.6" header="0.3" footer="0.3"/>
  <pageSetup paperSize="9" scale="100" fitToWidth="1" fitToHeight="0" orientation="landscape" horizontalDpi="300" verticalDpi="300"/>
  <headerFooter>
    <oddHeader>&amp;R&amp;"Aptos,Regular"&amp;8&amp;K94A0AE11 Res Potenciales</oddHeader>
    <oddFooter>&amp;L&amp;"Aptos,Regular"&amp;8&amp;K94A0AEIntelKIT · MICMAC Professional v1.0&amp;R&amp;"Aptos,Regular"&amp;8&amp;K94A0AEPágina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F82C0"/>
    <pageSetUpPr fitToPage="1"/>
  </sheetPr>
  <dimension ref="A1:L94"/>
  <sheetViews>
    <sheetView showGridLines="0" tabSelected="1"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28" customWidth="1"/>
    <col min="3" max="4" width="12" customWidth="1"/>
    <col min="5" max="5" width="13" customWidth="1"/>
    <col min="6" max="6" width="14" customWidth="1"/>
    <col min="7" max="8" width="11" customWidth="1"/>
    <col min="9" max="9" width="26" customWidth="1"/>
    <col min="10" max="10" width="28" customWidth="1"/>
    <col min="11" max="11" width="16" customWidth="1"/>
    <col min="12" max="12" width="52" customWidth="1"/>
  </cols>
  <sheetData>
    <row r="1" spans="1:9" ht="24" customHeight="1">
      <c r="A1" s="68"/>
      <c r="B1" s="65" t="inlineStr">
        <is>
          <t>◀ Inicio</t>
        </is>
      </c>
      <c r="C1" s="66" t="inlineStr">
        <is>
          <t>Bloque 3 · Resultados   ·   Comparativa y convergencia   ·   Paso 12 de 22</t>
        </is>
      </c>
      <c r="D1" s="68"/>
      <c r="E1" s="68"/>
      <c r="F1" s="68"/>
      <c r="G1" s="68"/>
      <c r="H1" s="68"/>
      <c r="I1" s="67" t="inlineStr">
        <is>
          <t>Continuar ▶</t>
        </is>
      </c>
    </row>
    <row r="2" spans="1:12" ht="26" x14ac:dyDescent="0.2" customHeight="1">
      <c r="B2" s="72" t="s">
        <v>398</v>
      </c>
    </row>
    <row r="3" spans="1:12" ht="22" x14ac:dyDescent="0.2" customHeight="1">
      <c r="B3" s="73" t="s">
        <v>399</v>
      </c>
    </row>
    <row r="5" spans="1:12" ht="30" x14ac:dyDescent="0.2">
      <c r="A5" s="20" t="s">
        <v>147</v>
      </c>
      <c r="B5" s="20" t="s">
        <v>379</v>
      </c>
      <c r="C5" s="20" t="s">
        <v>400</v>
      </c>
      <c r="D5" s="20" t="s">
        <v>401</v>
      </c>
      <c r="E5" s="20" t="s">
        <v>402</v>
      </c>
      <c r="F5" s="20" t="s">
        <v>403</v>
      </c>
      <c r="G5" s="20" t="s">
        <v>404</v>
      </c>
      <c r="H5" s="20" t="s">
        <v>405</v>
      </c>
      <c r="I5" s="20" t="s">
        <v>406</v>
      </c>
      <c r="J5" s="20" t="s">
        <v>407</v>
      </c>
      <c r="K5" s="20" t="s">
        <v>408</v>
      </c>
      <c r="L5" s="20" t="s">
        <v>409</v>
      </c>
    </row>
    <row r="6" spans="1:12" x14ac:dyDescent="0.2">
      <c r="A6" s="21">
        <f>IF('_motor'!$B$586=0,"",'02 · Variables'!$B$7)</f>
        <v/>
      </c>
      <c r="B6" s="19">
        <f>IF('_motor'!$B$586=0,"",'02 · Variables'!$C$7)</f>
        <v/>
      </c>
      <c r="C6" s="22">
        <f>IF('_motor'!$B$586=0,"",SUMPRODUCT('_motor'!$B$586:$B$665*('_motor'!$C$586:$C$665&gt;'_motor'!$C$586))+(SUMPRODUCT('_motor'!$B$586:$B$665*('_motor'!$C$586:$C$665='_motor'!$C$586))+1)/2)</f>
        <v/>
      </c>
      <c r="D6" s="22">
        <f>IF('_motor'!$B$586=0,"",SUMPRODUCT('_motor'!$B$586:$B$665*('_motor'!$E$586:$E$665&gt;'_motor'!$E$586))+(SUMPRODUCT('_motor'!$B$586:$B$665*('_motor'!$E$586:$E$665='_motor'!$E$586))+1)/2)</f>
        <v/>
      </c>
      <c r="E6" s="22">
        <f>IF('_motor'!$B$586=0,"",SUMPRODUCT('_motor'!$B$586:$B$665*('_motor'!$G$586:$G$665&gt;'_motor'!$G$586))+(SUMPRODUCT('_motor'!$B$586:$B$665*('_motor'!$G$586:$G$665='_motor'!$G$586))+1)/2)</f>
        <v/>
      </c>
      <c r="F6" s="22">
        <f>IF('_motor'!$B$586=0,"",SUMPRODUCT('_motor'!$B$586:$B$665*('_motor'!$I$586:$I$665&gt;'_motor'!$I$586))+(SUMPRODUCT('_motor'!$B$586:$B$665*('_motor'!$I$586:$I$665='_motor'!$I$586))+1)/2)</f>
        <v/>
      </c>
      <c r="G6" s="22">
        <f>IF('_motor'!$B$586=0,"",C6-D6)</f>
        <v/>
      </c>
      <c r="H6" s="22">
        <f>IF('_motor'!$B$586=0,"",C6-E6)</f>
        <v/>
      </c>
      <c r="I6" s="19">
        <f>IF('_motor'!$B$586=0,"",IF(AND(ABS('_motor'!$C$586-'_motor'!$B$668)&lt;='_motor'!$B$676+0.000000001,ABS('_motor'!$D$586-'_motor'!$B$668)&lt;='_motor'!$B$676+0.000000001),"5 · Pelotón (no concluyente)",IF(AND('_motor'!$C$586&gt;='_motor'!$B$668,'_motor'!$D$586&lt;'_motor'!$B$668),"1 · Entrada / determinante",IF(AND('_motor'!$C$586&gt;='_motor'!$B$668,'_motor'!$D$586&gt;='_motor'!$B$668),"2 · Intermedia / de enlace",IF(AND('_motor'!$C$586&lt;'_motor'!$B$668,'_motor'!$D$586&gt;='_motor'!$B$668),"3 · Resultado","4 · Excluida / autónoma")))))</f>
        <v/>
      </c>
      <c r="J6" s="19">
        <f>IF('_motor'!$B$586=0,"",IF(AND(ABS('_motor'!$I$586-'_motor'!$B$671)&lt;='_motor'!$B$679+0.000000001,ABS('_motor'!$J$586-'_motor'!$B$671)&lt;='_motor'!$B$679+0.000000001),"5 · Pelotón (no concluyente)",IF(AND('_motor'!$I$586&gt;='_motor'!$B$671,'_motor'!$J$586&lt;'_motor'!$B$671),"1 · Entrada / determinante",IF(AND('_motor'!$I$586&gt;='_motor'!$B$671,'_motor'!$J$586&gt;='_motor'!$B$671),"2 · Intermedia / de enlace",IF(AND('_motor'!$I$586&lt;'_motor'!$B$671,'_motor'!$J$586&gt;='_motor'!$B$671),"3 · Resultado","4 · Excluida / autónoma")))))</f>
        <v/>
      </c>
      <c r="K6" s="22">
        <f>IF('_motor'!$B$586=0,"",IF(LEFT(I6,1)=LEFT(J6,1),"No","SÍ"))</f>
        <v/>
      </c>
      <c r="L6" s="19">
        <f>IF('_motor'!$B$586=0,"",IF(AND(G6&gt;2,H6&gt;2),"Variable oculta y además latente: su peso real está muy infravalorado en la lectura directa. Prioridad máxima de seguimiento.",IF(G6&gt;2,"Variable oculta: gobierna el sistema a través de cadenas indirectas.",IF(H6&gt;2,"Variable latente: hoy es secundaria, pero ganará peso si las relaciones potenciales se materializan.",IF(AND(G6&lt;-2,H6&lt;-2),"Su importancia aparente en la lectura directa no se sostiene ni por vía indirecta ni potencial.","Comportamiento estable en las distintas clasificaciones.")))))</f>
        <v/>
      </c>
    </row>
    <row r="7" spans="1:12" x14ac:dyDescent="0.2">
      <c r="A7" s="21">
        <f>IF('_motor'!$B$587=0,"",'02 · Variables'!$B$8)</f>
        <v/>
      </c>
      <c r="B7" s="19">
        <f>IF('_motor'!$B$587=0,"",'02 · Variables'!$C$8)</f>
        <v/>
      </c>
      <c r="C7" s="22">
        <f>IF('_motor'!$B$587=0,"",SUMPRODUCT('_motor'!$B$586:$B$665*('_motor'!$C$586:$C$665&gt;'_motor'!$C$587))+(SUMPRODUCT('_motor'!$B$586:$B$665*('_motor'!$C$586:$C$665='_motor'!$C$587))+1)/2)</f>
        <v/>
      </c>
      <c r="D7" s="22">
        <f>IF('_motor'!$B$587=0,"",SUMPRODUCT('_motor'!$B$586:$B$665*('_motor'!$E$586:$E$665&gt;'_motor'!$E$587))+(SUMPRODUCT('_motor'!$B$586:$B$665*('_motor'!$E$586:$E$665='_motor'!$E$587))+1)/2)</f>
        <v/>
      </c>
      <c r="E7" s="22">
        <f>IF('_motor'!$B$587=0,"",SUMPRODUCT('_motor'!$B$586:$B$665*('_motor'!$G$586:$G$665&gt;'_motor'!$G$587))+(SUMPRODUCT('_motor'!$B$586:$B$665*('_motor'!$G$586:$G$665='_motor'!$G$587))+1)/2)</f>
        <v/>
      </c>
      <c r="F7" s="22">
        <f>IF('_motor'!$B$587=0,"",SUMPRODUCT('_motor'!$B$586:$B$665*('_motor'!$I$586:$I$665&gt;'_motor'!$I$587))+(SUMPRODUCT('_motor'!$B$586:$B$665*('_motor'!$I$586:$I$665='_motor'!$I$587))+1)/2)</f>
        <v/>
      </c>
      <c r="G7" s="22">
        <f>IF('_motor'!$B$587=0,"",C7-D7)</f>
        <v/>
      </c>
      <c r="H7" s="22">
        <f>IF('_motor'!$B$587=0,"",C7-E7)</f>
        <v/>
      </c>
      <c r="I7" s="19">
        <f>IF('_motor'!$B$587=0,"",IF(AND(ABS('_motor'!$C$587-'_motor'!$B$668)&lt;='_motor'!$B$676+0.000000001,ABS('_motor'!$D$587-'_motor'!$B$668)&lt;='_motor'!$B$676+0.000000001),"5 · Pelotón (no concluyente)",IF(AND('_motor'!$C$587&gt;='_motor'!$B$668,'_motor'!$D$587&lt;'_motor'!$B$668),"1 · Entrada / determinante",IF(AND('_motor'!$C$587&gt;='_motor'!$B$668,'_motor'!$D$587&gt;='_motor'!$B$668),"2 · Intermedia / de enlace",IF(AND('_motor'!$C$587&lt;'_motor'!$B$668,'_motor'!$D$587&gt;='_motor'!$B$668),"3 · Resultado","4 · Excluida / autónoma")))))</f>
        <v/>
      </c>
      <c r="J7" s="19">
        <f>IF('_motor'!$B$587=0,"",IF(AND(ABS('_motor'!$I$587-'_motor'!$B$671)&lt;='_motor'!$B$679+0.000000001,ABS('_motor'!$J$587-'_motor'!$B$671)&lt;='_motor'!$B$679+0.000000001),"5 · Pelotón (no concluyente)",IF(AND('_motor'!$I$587&gt;='_motor'!$B$671,'_motor'!$J$587&lt;'_motor'!$B$671),"1 · Entrada / determinante",IF(AND('_motor'!$I$587&gt;='_motor'!$B$671,'_motor'!$J$587&gt;='_motor'!$B$671),"2 · Intermedia / de enlace",IF(AND('_motor'!$I$587&lt;'_motor'!$B$671,'_motor'!$J$587&gt;='_motor'!$B$671),"3 · Resultado","4 · Excluida / autónoma")))))</f>
        <v/>
      </c>
      <c r="K7" s="22">
        <f>IF('_motor'!$B$587=0,"",IF(LEFT(I7,1)=LEFT(J7,1),"No","SÍ"))</f>
        <v/>
      </c>
      <c r="L7" s="19">
        <f>IF('_motor'!$B$587=0,"",IF(AND(G7&gt;2,H7&gt;2),"Variable oculta y además latente: su peso real está muy infravalorado en la lectura directa. Prioridad máxima de seguimiento.",IF(G7&gt;2,"Variable oculta: gobierna el sistema a través de cadenas indirectas.",IF(H7&gt;2,"Variable latente: hoy es secundaria, pero ganará peso si las relaciones potenciales se materializan.",IF(AND(G7&lt;-2,H7&lt;-2),"Su importancia aparente en la lectura directa no se sostiene ni por vía indirecta ni potencial.","Comportamiento estable en las distintas clasificaciones.")))))</f>
        <v/>
      </c>
    </row>
    <row r="8" spans="1:12" x14ac:dyDescent="0.2">
      <c r="A8" s="21">
        <f>IF('_motor'!$B$588=0,"",'02 · Variables'!$B$9)</f>
        <v/>
      </c>
      <c r="B8" s="19">
        <f>IF('_motor'!$B$588=0,"",'02 · Variables'!$C$9)</f>
        <v/>
      </c>
      <c r="C8" s="22">
        <f>IF('_motor'!$B$588=0,"",SUMPRODUCT('_motor'!$B$586:$B$665*('_motor'!$C$586:$C$665&gt;'_motor'!$C$588))+(SUMPRODUCT('_motor'!$B$586:$B$665*('_motor'!$C$586:$C$665='_motor'!$C$588))+1)/2)</f>
        <v/>
      </c>
      <c r="D8" s="22">
        <f>IF('_motor'!$B$588=0,"",SUMPRODUCT('_motor'!$B$586:$B$665*('_motor'!$E$586:$E$665&gt;'_motor'!$E$588))+(SUMPRODUCT('_motor'!$B$586:$B$665*('_motor'!$E$586:$E$665='_motor'!$E$588))+1)/2)</f>
        <v/>
      </c>
      <c r="E8" s="22">
        <f>IF('_motor'!$B$588=0,"",SUMPRODUCT('_motor'!$B$586:$B$665*('_motor'!$G$586:$G$665&gt;'_motor'!$G$588))+(SUMPRODUCT('_motor'!$B$586:$B$665*('_motor'!$G$586:$G$665='_motor'!$G$588))+1)/2)</f>
        <v/>
      </c>
      <c r="F8" s="22">
        <f>IF('_motor'!$B$588=0,"",SUMPRODUCT('_motor'!$B$586:$B$665*('_motor'!$I$586:$I$665&gt;'_motor'!$I$588))+(SUMPRODUCT('_motor'!$B$586:$B$665*('_motor'!$I$586:$I$665='_motor'!$I$588))+1)/2)</f>
        <v/>
      </c>
      <c r="G8" s="22">
        <f>IF('_motor'!$B$588=0,"",C8-D8)</f>
        <v/>
      </c>
      <c r="H8" s="22">
        <f>IF('_motor'!$B$588=0,"",C8-E8)</f>
        <v/>
      </c>
      <c r="I8" s="19">
        <f>IF('_motor'!$B$588=0,"",IF(AND(ABS('_motor'!$C$588-'_motor'!$B$668)&lt;='_motor'!$B$676+0.000000001,ABS('_motor'!$D$588-'_motor'!$B$668)&lt;='_motor'!$B$676+0.000000001),"5 · Pelotón (no concluyente)",IF(AND('_motor'!$C$588&gt;='_motor'!$B$668,'_motor'!$D$588&lt;'_motor'!$B$668),"1 · Entrada / determinante",IF(AND('_motor'!$C$588&gt;='_motor'!$B$668,'_motor'!$D$588&gt;='_motor'!$B$668),"2 · Intermedia / de enlace",IF(AND('_motor'!$C$588&lt;'_motor'!$B$668,'_motor'!$D$588&gt;='_motor'!$B$668),"3 · Resultado","4 · Excluida / autónoma")))))</f>
        <v/>
      </c>
      <c r="J8" s="19">
        <f>IF('_motor'!$B$588=0,"",IF(AND(ABS('_motor'!$I$588-'_motor'!$B$671)&lt;='_motor'!$B$679+0.000000001,ABS('_motor'!$J$588-'_motor'!$B$671)&lt;='_motor'!$B$679+0.000000001),"5 · Pelotón (no concluyente)",IF(AND('_motor'!$I$588&gt;='_motor'!$B$671,'_motor'!$J$588&lt;'_motor'!$B$671),"1 · Entrada / determinante",IF(AND('_motor'!$I$588&gt;='_motor'!$B$671,'_motor'!$J$588&gt;='_motor'!$B$671),"2 · Intermedia / de enlace",IF(AND('_motor'!$I$588&lt;'_motor'!$B$671,'_motor'!$J$588&gt;='_motor'!$B$671),"3 · Resultado","4 · Excluida / autónoma")))))</f>
        <v/>
      </c>
      <c r="K8" s="22">
        <f>IF('_motor'!$B$588=0,"",IF(LEFT(I8,1)=LEFT(J8,1),"No","SÍ"))</f>
        <v/>
      </c>
      <c r="L8" s="19">
        <f>IF('_motor'!$B$588=0,"",IF(AND(G8&gt;2,H8&gt;2),"Variable oculta y además latente: su peso real está muy infravalorado en la lectura directa. Prioridad máxima de seguimiento.",IF(G8&gt;2,"Variable oculta: gobierna el sistema a través de cadenas indirectas.",IF(H8&gt;2,"Variable latente: hoy es secundaria, pero ganará peso si las relaciones potenciales se materializan.",IF(AND(G8&lt;-2,H8&lt;-2),"Su importancia aparente en la lectura directa no se sostiene ni por vía indirecta ni potencial.","Comportamiento estable en las distintas clasificaciones.")))))</f>
        <v/>
      </c>
    </row>
    <row r="9" spans="1:12" x14ac:dyDescent="0.2">
      <c r="A9" s="21">
        <f>IF('_motor'!$B$589=0,"",'02 · Variables'!$B$10)</f>
        <v/>
      </c>
      <c r="B9" s="19">
        <f>IF('_motor'!$B$589=0,"",'02 · Variables'!$C$10)</f>
        <v/>
      </c>
      <c r="C9" s="22">
        <f>IF('_motor'!$B$589=0,"",SUMPRODUCT('_motor'!$B$586:$B$665*('_motor'!$C$586:$C$665&gt;'_motor'!$C$589))+(SUMPRODUCT('_motor'!$B$586:$B$665*('_motor'!$C$586:$C$665='_motor'!$C$589))+1)/2)</f>
        <v/>
      </c>
      <c r="D9" s="22">
        <f>IF('_motor'!$B$589=0,"",SUMPRODUCT('_motor'!$B$586:$B$665*('_motor'!$E$586:$E$665&gt;'_motor'!$E$589))+(SUMPRODUCT('_motor'!$B$586:$B$665*('_motor'!$E$586:$E$665='_motor'!$E$589))+1)/2)</f>
        <v/>
      </c>
      <c r="E9" s="22">
        <f>IF('_motor'!$B$589=0,"",SUMPRODUCT('_motor'!$B$586:$B$665*('_motor'!$G$586:$G$665&gt;'_motor'!$G$589))+(SUMPRODUCT('_motor'!$B$586:$B$665*('_motor'!$G$586:$G$665='_motor'!$G$589))+1)/2)</f>
        <v/>
      </c>
      <c r="F9" s="22">
        <f>IF('_motor'!$B$589=0,"",SUMPRODUCT('_motor'!$B$586:$B$665*('_motor'!$I$586:$I$665&gt;'_motor'!$I$589))+(SUMPRODUCT('_motor'!$B$586:$B$665*('_motor'!$I$586:$I$665='_motor'!$I$589))+1)/2)</f>
        <v/>
      </c>
      <c r="G9" s="22">
        <f>IF('_motor'!$B$589=0,"",C9-D9)</f>
        <v/>
      </c>
      <c r="H9" s="22">
        <f>IF('_motor'!$B$589=0,"",C9-E9)</f>
        <v/>
      </c>
      <c r="I9" s="19">
        <f>IF('_motor'!$B$589=0,"",IF(AND(ABS('_motor'!$C$589-'_motor'!$B$668)&lt;='_motor'!$B$676+0.000000001,ABS('_motor'!$D$589-'_motor'!$B$668)&lt;='_motor'!$B$676+0.000000001),"5 · Pelotón (no concluyente)",IF(AND('_motor'!$C$589&gt;='_motor'!$B$668,'_motor'!$D$589&lt;'_motor'!$B$668),"1 · Entrada / determinante",IF(AND('_motor'!$C$589&gt;='_motor'!$B$668,'_motor'!$D$589&gt;='_motor'!$B$668),"2 · Intermedia / de enlace",IF(AND('_motor'!$C$589&lt;'_motor'!$B$668,'_motor'!$D$589&gt;='_motor'!$B$668),"3 · Resultado","4 · Excluida / autónoma")))))</f>
        <v/>
      </c>
      <c r="J9" s="19">
        <f>IF('_motor'!$B$589=0,"",IF(AND(ABS('_motor'!$I$589-'_motor'!$B$671)&lt;='_motor'!$B$679+0.000000001,ABS('_motor'!$J$589-'_motor'!$B$671)&lt;='_motor'!$B$679+0.000000001),"5 · Pelotón (no concluyente)",IF(AND('_motor'!$I$589&gt;='_motor'!$B$671,'_motor'!$J$589&lt;'_motor'!$B$671),"1 · Entrada / determinante",IF(AND('_motor'!$I$589&gt;='_motor'!$B$671,'_motor'!$J$589&gt;='_motor'!$B$671),"2 · Intermedia / de enlace",IF(AND('_motor'!$I$589&lt;'_motor'!$B$671,'_motor'!$J$589&gt;='_motor'!$B$671),"3 · Resultado","4 · Excluida / autónoma")))))</f>
        <v/>
      </c>
      <c r="K9" s="22">
        <f>IF('_motor'!$B$589=0,"",IF(LEFT(I9,1)=LEFT(J9,1),"No","SÍ"))</f>
        <v/>
      </c>
      <c r="L9" s="19">
        <f>IF('_motor'!$B$589=0,"",IF(AND(G9&gt;2,H9&gt;2),"Variable oculta y además latente: su peso real está muy infravalorado en la lectura directa. Prioridad máxima de seguimiento.",IF(G9&gt;2,"Variable oculta: gobierna el sistema a través de cadenas indirectas.",IF(H9&gt;2,"Variable latente: hoy es secundaria, pero ganará peso si las relaciones potenciales se materializan.",IF(AND(G9&lt;-2,H9&lt;-2),"Su importancia aparente en la lectura directa no se sostiene ni por vía indirecta ni potencial.","Comportamiento estable en las distintas clasificaciones.")))))</f>
        <v/>
      </c>
    </row>
    <row r="10" spans="1:12" x14ac:dyDescent="0.2">
      <c r="A10" s="21">
        <f>IF('_motor'!$B$590=0,"",'02 · Variables'!$B$11)</f>
        <v/>
      </c>
      <c r="B10" s="19">
        <f>IF('_motor'!$B$590=0,"",'02 · Variables'!$C$11)</f>
        <v/>
      </c>
      <c r="C10" s="22">
        <f>IF('_motor'!$B$590=0,"",SUMPRODUCT('_motor'!$B$586:$B$665*('_motor'!$C$586:$C$665&gt;'_motor'!$C$590))+(SUMPRODUCT('_motor'!$B$586:$B$665*('_motor'!$C$586:$C$665='_motor'!$C$590))+1)/2)</f>
        <v/>
      </c>
      <c r="D10" s="22">
        <f>IF('_motor'!$B$590=0,"",SUMPRODUCT('_motor'!$B$586:$B$665*('_motor'!$E$586:$E$665&gt;'_motor'!$E$590))+(SUMPRODUCT('_motor'!$B$586:$B$665*('_motor'!$E$586:$E$665='_motor'!$E$590))+1)/2)</f>
        <v/>
      </c>
      <c r="E10" s="22">
        <f>IF('_motor'!$B$590=0,"",SUMPRODUCT('_motor'!$B$586:$B$665*('_motor'!$G$586:$G$665&gt;'_motor'!$G$590))+(SUMPRODUCT('_motor'!$B$586:$B$665*('_motor'!$G$586:$G$665='_motor'!$G$590))+1)/2)</f>
        <v/>
      </c>
      <c r="F10" s="22">
        <f>IF('_motor'!$B$590=0,"",SUMPRODUCT('_motor'!$B$586:$B$665*('_motor'!$I$586:$I$665&gt;'_motor'!$I$590))+(SUMPRODUCT('_motor'!$B$586:$B$665*('_motor'!$I$586:$I$665='_motor'!$I$590))+1)/2)</f>
        <v/>
      </c>
      <c r="G10" s="22">
        <f>IF('_motor'!$B$590=0,"",C10-D10)</f>
        <v/>
      </c>
      <c r="H10" s="22">
        <f>IF('_motor'!$B$590=0,"",C10-E10)</f>
        <v/>
      </c>
      <c r="I10" s="19">
        <f>IF('_motor'!$B$590=0,"",IF(AND(ABS('_motor'!$C$590-'_motor'!$B$668)&lt;='_motor'!$B$676+0.000000001,ABS('_motor'!$D$590-'_motor'!$B$668)&lt;='_motor'!$B$676+0.000000001),"5 · Pelotón (no concluyente)",IF(AND('_motor'!$C$590&gt;='_motor'!$B$668,'_motor'!$D$590&lt;'_motor'!$B$668),"1 · Entrada / determinante",IF(AND('_motor'!$C$590&gt;='_motor'!$B$668,'_motor'!$D$590&gt;='_motor'!$B$668),"2 · Intermedia / de enlace",IF(AND('_motor'!$C$590&lt;'_motor'!$B$668,'_motor'!$D$590&gt;='_motor'!$B$668),"3 · Resultado","4 · Excluida / autónoma")))))</f>
        <v/>
      </c>
      <c r="J10" s="19">
        <f>IF('_motor'!$B$590=0,"",IF(AND(ABS('_motor'!$I$590-'_motor'!$B$671)&lt;='_motor'!$B$679+0.000000001,ABS('_motor'!$J$590-'_motor'!$B$671)&lt;='_motor'!$B$679+0.000000001),"5 · Pelotón (no concluyente)",IF(AND('_motor'!$I$590&gt;='_motor'!$B$671,'_motor'!$J$590&lt;'_motor'!$B$671),"1 · Entrada / determinante",IF(AND('_motor'!$I$590&gt;='_motor'!$B$671,'_motor'!$J$590&gt;='_motor'!$B$671),"2 · Intermedia / de enlace",IF(AND('_motor'!$I$590&lt;'_motor'!$B$671,'_motor'!$J$590&gt;='_motor'!$B$671),"3 · Resultado","4 · Excluida / autónoma")))))</f>
        <v/>
      </c>
      <c r="K10" s="22">
        <f>IF('_motor'!$B$590=0,"",IF(LEFT(I10,1)=LEFT(J10,1),"No","SÍ"))</f>
        <v/>
      </c>
      <c r="L10" s="19">
        <f>IF('_motor'!$B$590=0,"",IF(AND(G10&gt;2,H10&gt;2),"Variable oculta y además latente: su peso real está muy infravalorado en la lectura directa. Prioridad máxima de seguimiento.",IF(G10&gt;2,"Variable oculta: gobierna el sistema a través de cadenas indirectas.",IF(H10&gt;2,"Variable latente: hoy es secundaria, pero ganará peso si las relaciones potenciales se materializan.",IF(AND(G10&lt;-2,H10&lt;-2),"Su importancia aparente en la lectura directa no se sostiene ni por vía indirecta ni potencial.","Comportamiento estable en las distintas clasificaciones.")))))</f>
        <v/>
      </c>
    </row>
    <row r="11" spans="1:12" x14ac:dyDescent="0.2">
      <c r="A11" s="21">
        <f>IF('_motor'!$B$591=0,"",'02 · Variables'!$B$12)</f>
        <v/>
      </c>
      <c r="B11" s="19">
        <f>IF('_motor'!$B$591=0,"",'02 · Variables'!$C$12)</f>
        <v/>
      </c>
      <c r="C11" s="22">
        <f>IF('_motor'!$B$591=0,"",SUMPRODUCT('_motor'!$B$586:$B$665*('_motor'!$C$586:$C$665&gt;'_motor'!$C$591))+(SUMPRODUCT('_motor'!$B$586:$B$665*('_motor'!$C$586:$C$665='_motor'!$C$591))+1)/2)</f>
        <v/>
      </c>
      <c r="D11" s="22">
        <f>IF('_motor'!$B$591=0,"",SUMPRODUCT('_motor'!$B$586:$B$665*('_motor'!$E$586:$E$665&gt;'_motor'!$E$591))+(SUMPRODUCT('_motor'!$B$586:$B$665*('_motor'!$E$586:$E$665='_motor'!$E$591))+1)/2)</f>
        <v/>
      </c>
      <c r="E11" s="22">
        <f>IF('_motor'!$B$591=0,"",SUMPRODUCT('_motor'!$B$586:$B$665*('_motor'!$G$586:$G$665&gt;'_motor'!$G$591))+(SUMPRODUCT('_motor'!$B$586:$B$665*('_motor'!$G$586:$G$665='_motor'!$G$591))+1)/2)</f>
        <v/>
      </c>
      <c r="F11" s="22">
        <f>IF('_motor'!$B$591=0,"",SUMPRODUCT('_motor'!$B$586:$B$665*('_motor'!$I$586:$I$665&gt;'_motor'!$I$591))+(SUMPRODUCT('_motor'!$B$586:$B$665*('_motor'!$I$586:$I$665='_motor'!$I$591))+1)/2)</f>
        <v/>
      </c>
      <c r="G11" s="22">
        <f>IF('_motor'!$B$591=0,"",C11-D11)</f>
        <v/>
      </c>
      <c r="H11" s="22">
        <f>IF('_motor'!$B$591=0,"",C11-E11)</f>
        <v/>
      </c>
      <c r="I11" s="19">
        <f>IF('_motor'!$B$591=0,"",IF(AND(ABS('_motor'!$C$591-'_motor'!$B$668)&lt;='_motor'!$B$676+0.000000001,ABS('_motor'!$D$591-'_motor'!$B$668)&lt;='_motor'!$B$676+0.000000001),"5 · Pelotón (no concluyente)",IF(AND('_motor'!$C$591&gt;='_motor'!$B$668,'_motor'!$D$591&lt;'_motor'!$B$668),"1 · Entrada / determinante",IF(AND('_motor'!$C$591&gt;='_motor'!$B$668,'_motor'!$D$591&gt;='_motor'!$B$668),"2 · Intermedia / de enlace",IF(AND('_motor'!$C$591&lt;'_motor'!$B$668,'_motor'!$D$591&gt;='_motor'!$B$668),"3 · Resultado","4 · Excluida / autónoma")))))</f>
        <v/>
      </c>
      <c r="J11" s="19">
        <f>IF('_motor'!$B$591=0,"",IF(AND(ABS('_motor'!$I$591-'_motor'!$B$671)&lt;='_motor'!$B$679+0.000000001,ABS('_motor'!$J$591-'_motor'!$B$671)&lt;='_motor'!$B$679+0.000000001),"5 · Pelotón (no concluyente)",IF(AND('_motor'!$I$591&gt;='_motor'!$B$671,'_motor'!$J$591&lt;'_motor'!$B$671),"1 · Entrada / determinante",IF(AND('_motor'!$I$591&gt;='_motor'!$B$671,'_motor'!$J$591&gt;='_motor'!$B$671),"2 · Intermedia / de enlace",IF(AND('_motor'!$I$591&lt;'_motor'!$B$671,'_motor'!$J$591&gt;='_motor'!$B$671),"3 · Resultado","4 · Excluida / autónoma")))))</f>
        <v/>
      </c>
      <c r="K11" s="22">
        <f>IF('_motor'!$B$591=0,"",IF(LEFT(I11,1)=LEFT(J11,1),"No","SÍ"))</f>
        <v/>
      </c>
      <c r="L11" s="19">
        <f>IF('_motor'!$B$591=0,"",IF(AND(G11&gt;2,H11&gt;2),"Variable oculta y además latente: su peso real está muy infravalorado en la lectura directa. Prioridad máxima de seguimiento.",IF(G11&gt;2,"Variable oculta: gobierna el sistema a través de cadenas indirectas.",IF(H11&gt;2,"Variable latente: hoy es secundaria, pero ganará peso si las relaciones potenciales se materializan.",IF(AND(G11&lt;-2,H11&lt;-2),"Su importancia aparente en la lectura directa no se sostiene ni por vía indirecta ni potencial.","Comportamiento estable en las distintas clasificaciones.")))))</f>
        <v/>
      </c>
    </row>
    <row r="12" spans="1:12" x14ac:dyDescent="0.2">
      <c r="A12" s="21">
        <f>IF('_motor'!$B$592=0,"",'02 · Variables'!$B$13)</f>
        <v/>
      </c>
      <c r="B12" s="19">
        <f>IF('_motor'!$B$592=0,"",'02 · Variables'!$C$13)</f>
        <v/>
      </c>
      <c r="C12" s="22">
        <f>IF('_motor'!$B$592=0,"",SUMPRODUCT('_motor'!$B$586:$B$665*('_motor'!$C$586:$C$665&gt;'_motor'!$C$592))+(SUMPRODUCT('_motor'!$B$586:$B$665*('_motor'!$C$586:$C$665='_motor'!$C$592))+1)/2)</f>
        <v/>
      </c>
      <c r="D12" s="22">
        <f>IF('_motor'!$B$592=0,"",SUMPRODUCT('_motor'!$B$586:$B$665*('_motor'!$E$586:$E$665&gt;'_motor'!$E$592))+(SUMPRODUCT('_motor'!$B$586:$B$665*('_motor'!$E$586:$E$665='_motor'!$E$592))+1)/2)</f>
        <v/>
      </c>
      <c r="E12" s="22">
        <f>IF('_motor'!$B$592=0,"",SUMPRODUCT('_motor'!$B$586:$B$665*('_motor'!$G$586:$G$665&gt;'_motor'!$G$592))+(SUMPRODUCT('_motor'!$B$586:$B$665*('_motor'!$G$586:$G$665='_motor'!$G$592))+1)/2)</f>
        <v/>
      </c>
      <c r="F12" s="22">
        <f>IF('_motor'!$B$592=0,"",SUMPRODUCT('_motor'!$B$586:$B$665*('_motor'!$I$586:$I$665&gt;'_motor'!$I$592))+(SUMPRODUCT('_motor'!$B$586:$B$665*('_motor'!$I$586:$I$665='_motor'!$I$592))+1)/2)</f>
        <v/>
      </c>
      <c r="G12" s="22">
        <f>IF('_motor'!$B$592=0,"",C12-D12)</f>
        <v/>
      </c>
      <c r="H12" s="22">
        <f>IF('_motor'!$B$592=0,"",C12-E12)</f>
        <v/>
      </c>
      <c r="I12" s="19">
        <f>IF('_motor'!$B$592=0,"",IF(AND(ABS('_motor'!$C$592-'_motor'!$B$668)&lt;='_motor'!$B$676+0.000000001,ABS('_motor'!$D$592-'_motor'!$B$668)&lt;='_motor'!$B$676+0.000000001),"5 · Pelotón (no concluyente)",IF(AND('_motor'!$C$592&gt;='_motor'!$B$668,'_motor'!$D$592&lt;'_motor'!$B$668),"1 · Entrada / determinante",IF(AND('_motor'!$C$592&gt;='_motor'!$B$668,'_motor'!$D$592&gt;='_motor'!$B$668),"2 · Intermedia / de enlace",IF(AND('_motor'!$C$592&lt;'_motor'!$B$668,'_motor'!$D$592&gt;='_motor'!$B$668),"3 · Resultado","4 · Excluida / autónoma")))))</f>
        <v/>
      </c>
      <c r="J12" s="19">
        <f>IF('_motor'!$B$592=0,"",IF(AND(ABS('_motor'!$I$592-'_motor'!$B$671)&lt;='_motor'!$B$679+0.000000001,ABS('_motor'!$J$592-'_motor'!$B$671)&lt;='_motor'!$B$679+0.000000001),"5 · Pelotón (no concluyente)",IF(AND('_motor'!$I$592&gt;='_motor'!$B$671,'_motor'!$J$592&lt;'_motor'!$B$671),"1 · Entrada / determinante",IF(AND('_motor'!$I$592&gt;='_motor'!$B$671,'_motor'!$J$592&gt;='_motor'!$B$671),"2 · Intermedia / de enlace",IF(AND('_motor'!$I$592&lt;'_motor'!$B$671,'_motor'!$J$592&gt;='_motor'!$B$671),"3 · Resultado","4 · Excluida / autónoma")))))</f>
        <v/>
      </c>
      <c r="K12" s="22">
        <f>IF('_motor'!$B$592=0,"",IF(LEFT(I12,1)=LEFT(J12,1),"No","SÍ"))</f>
        <v/>
      </c>
      <c r="L12" s="19">
        <f>IF('_motor'!$B$592=0,"",IF(AND(G12&gt;2,H12&gt;2),"Variable oculta y además latente: su peso real está muy infravalorado en la lectura directa. Prioridad máxima de seguimiento.",IF(G12&gt;2,"Variable oculta: gobierna el sistema a través de cadenas indirectas.",IF(H12&gt;2,"Variable latente: hoy es secundaria, pero ganará peso si las relaciones potenciales se materializan.",IF(AND(G12&lt;-2,H12&lt;-2),"Su importancia aparente en la lectura directa no se sostiene ni por vía indirecta ni potencial.","Comportamiento estable en las distintas clasificaciones.")))))</f>
        <v/>
      </c>
    </row>
    <row r="13" spans="1:12" x14ac:dyDescent="0.2">
      <c r="A13" s="21">
        <f>IF('_motor'!$B$593=0,"",'02 · Variables'!$B$14)</f>
        <v/>
      </c>
      <c r="B13" s="19">
        <f>IF('_motor'!$B$593=0,"",'02 · Variables'!$C$14)</f>
        <v/>
      </c>
      <c r="C13" s="22">
        <f>IF('_motor'!$B$593=0,"",SUMPRODUCT('_motor'!$B$586:$B$665*('_motor'!$C$586:$C$665&gt;'_motor'!$C$593))+(SUMPRODUCT('_motor'!$B$586:$B$665*('_motor'!$C$586:$C$665='_motor'!$C$593))+1)/2)</f>
        <v/>
      </c>
      <c r="D13" s="22">
        <f>IF('_motor'!$B$593=0,"",SUMPRODUCT('_motor'!$B$586:$B$665*('_motor'!$E$586:$E$665&gt;'_motor'!$E$593))+(SUMPRODUCT('_motor'!$B$586:$B$665*('_motor'!$E$586:$E$665='_motor'!$E$593))+1)/2)</f>
        <v/>
      </c>
      <c r="E13" s="22">
        <f>IF('_motor'!$B$593=0,"",SUMPRODUCT('_motor'!$B$586:$B$665*('_motor'!$G$586:$G$665&gt;'_motor'!$G$593))+(SUMPRODUCT('_motor'!$B$586:$B$665*('_motor'!$G$586:$G$665='_motor'!$G$593))+1)/2)</f>
        <v/>
      </c>
      <c r="F13" s="22">
        <f>IF('_motor'!$B$593=0,"",SUMPRODUCT('_motor'!$B$586:$B$665*('_motor'!$I$586:$I$665&gt;'_motor'!$I$593))+(SUMPRODUCT('_motor'!$B$586:$B$665*('_motor'!$I$586:$I$665='_motor'!$I$593))+1)/2)</f>
        <v/>
      </c>
      <c r="G13" s="22">
        <f>IF('_motor'!$B$593=0,"",C13-D13)</f>
        <v/>
      </c>
      <c r="H13" s="22">
        <f>IF('_motor'!$B$593=0,"",C13-E13)</f>
        <v/>
      </c>
      <c r="I13" s="19">
        <f>IF('_motor'!$B$593=0,"",IF(AND(ABS('_motor'!$C$593-'_motor'!$B$668)&lt;='_motor'!$B$676+0.000000001,ABS('_motor'!$D$593-'_motor'!$B$668)&lt;='_motor'!$B$676+0.000000001),"5 · Pelotón (no concluyente)",IF(AND('_motor'!$C$593&gt;='_motor'!$B$668,'_motor'!$D$593&lt;'_motor'!$B$668),"1 · Entrada / determinante",IF(AND('_motor'!$C$593&gt;='_motor'!$B$668,'_motor'!$D$593&gt;='_motor'!$B$668),"2 · Intermedia / de enlace",IF(AND('_motor'!$C$593&lt;'_motor'!$B$668,'_motor'!$D$593&gt;='_motor'!$B$668),"3 · Resultado","4 · Excluida / autónoma")))))</f>
        <v/>
      </c>
      <c r="J13" s="19">
        <f>IF('_motor'!$B$593=0,"",IF(AND(ABS('_motor'!$I$593-'_motor'!$B$671)&lt;='_motor'!$B$679+0.000000001,ABS('_motor'!$J$593-'_motor'!$B$671)&lt;='_motor'!$B$679+0.000000001),"5 · Pelotón (no concluyente)",IF(AND('_motor'!$I$593&gt;='_motor'!$B$671,'_motor'!$J$593&lt;'_motor'!$B$671),"1 · Entrada / determinante",IF(AND('_motor'!$I$593&gt;='_motor'!$B$671,'_motor'!$J$593&gt;='_motor'!$B$671),"2 · Intermedia / de enlace",IF(AND('_motor'!$I$593&lt;'_motor'!$B$671,'_motor'!$J$593&gt;='_motor'!$B$671),"3 · Resultado","4 · Excluida / autónoma")))))</f>
        <v/>
      </c>
      <c r="K13" s="22">
        <f>IF('_motor'!$B$593=0,"",IF(LEFT(I13,1)=LEFT(J13,1),"No","SÍ"))</f>
        <v/>
      </c>
      <c r="L13" s="19">
        <f>IF('_motor'!$B$593=0,"",IF(AND(G13&gt;2,H13&gt;2),"Variable oculta y además latente: su peso real está muy infravalorado en la lectura directa. Prioridad máxima de seguimiento.",IF(G13&gt;2,"Variable oculta: gobierna el sistema a través de cadenas indirectas.",IF(H13&gt;2,"Variable latente: hoy es secundaria, pero ganará peso si las relaciones potenciales se materializan.",IF(AND(G13&lt;-2,H13&lt;-2),"Su importancia aparente en la lectura directa no se sostiene ni por vía indirecta ni potencial.","Comportamiento estable en las distintas clasificaciones.")))))</f>
        <v/>
      </c>
    </row>
    <row r="14" spans="1:12" x14ac:dyDescent="0.2">
      <c r="A14" s="21">
        <f>IF('_motor'!$B$594=0,"",'02 · Variables'!$B$15)</f>
        <v/>
      </c>
      <c r="B14" s="19">
        <f>IF('_motor'!$B$594=0,"",'02 · Variables'!$C$15)</f>
        <v/>
      </c>
      <c r="C14" s="22">
        <f>IF('_motor'!$B$594=0,"",SUMPRODUCT('_motor'!$B$586:$B$665*('_motor'!$C$586:$C$665&gt;'_motor'!$C$594))+(SUMPRODUCT('_motor'!$B$586:$B$665*('_motor'!$C$586:$C$665='_motor'!$C$594))+1)/2)</f>
        <v/>
      </c>
      <c r="D14" s="22">
        <f>IF('_motor'!$B$594=0,"",SUMPRODUCT('_motor'!$B$586:$B$665*('_motor'!$E$586:$E$665&gt;'_motor'!$E$594))+(SUMPRODUCT('_motor'!$B$586:$B$665*('_motor'!$E$586:$E$665='_motor'!$E$594))+1)/2)</f>
        <v/>
      </c>
      <c r="E14" s="22">
        <f>IF('_motor'!$B$594=0,"",SUMPRODUCT('_motor'!$B$586:$B$665*('_motor'!$G$586:$G$665&gt;'_motor'!$G$594))+(SUMPRODUCT('_motor'!$B$586:$B$665*('_motor'!$G$586:$G$665='_motor'!$G$594))+1)/2)</f>
        <v/>
      </c>
      <c r="F14" s="22">
        <f>IF('_motor'!$B$594=0,"",SUMPRODUCT('_motor'!$B$586:$B$665*('_motor'!$I$586:$I$665&gt;'_motor'!$I$594))+(SUMPRODUCT('_motor'!$B$586:$B$665*('_motor'!$I$586:$I$665='_motor'!$I$594))+1)/2)</f>
        <v/>
      </c>
      <c r="G14" s="22">
        <f>IF('_motor'!$B$594=0,"",C14-D14)</f>
        <v/>
      </c>
      <c r="H14" s="22">
        <f>IF('_motor'!$B$594=0,"",C14-E14)</f>
        <v/>
      </c>
      <c r="I14" s="19">
        <f>IF('_motor'!$B$594=0,"",IF(AND(ABS('_motor'!$C$594-'_motor'!$B$668)&lt;='_motor'!$B$676+0.000000001,ABS('_motor'!$D$594-'_motor'!$B$668)&lt;='_motor'!$B$676+0.000000001),"5 · Pelotón (no concluyente)",IF(AND('_motor'!$C$594&gt;='_motor'!$B$668,'_motor'!$D$594&lt;'_motor'!$B$668),"1 · Entrada / determinante",IF(AND('_motor'!$C$594&gt;='_motor'!$B$668,'_motor'!$D$594&gt;='_motor'!$B$668),"2 · Intermedia / de enlace",IF(AND('_motor'!$C$594&lt;'_motor'!$B$668,'_motor'!$D$594&gt;='_motor'!$B$668),"3 · Resultado","4 · Excluida / autónoma")))))</f>
        <v/>
      </c>
      <c r="J14" s="19">
        <f>IF('_motor'!$B$594=0,"",IF(AND(ABS('_motor'!$I$594-'_motor'!$B$671)&lt;='_motor'!$B$679+0.000000001,ABS('_motor'!$J$594-'_motor'!$B$671)&lt;='_motor'!$B$679+0.000000001),"5 · Pelotón (no concluyente)",IF(AND('_motor'!$I$594&gt;='_motor'!$B$671,'_motor'!$J$594&lt;'_motor'!$B$671),"1 · Entrada / determinante",IF(AND('_motor'!$I$594&gt;='_motor'!$B$671,'_motor'!$J$594&gt;='_motor'!$B$671),"2 · Intermedia / de enlace",IF(AND('_motor'!$I$594&lt;'_motor'!$B$671,'_motor'!$J$594&gt;='_motor'!$B$671),"3 · Resultado","4 · Excluida / autónoma")))))</f>
        <v/>
      </c>
      <c r="K14" s="22">
        <f>IF('_motor'!$B$594=0,"",IF(LEFT(I14,1)=LEFT(J14,1),"No","SÍ"))</f>
        <v/>
      </c>
      <c r="L14" s="19">
        <f>IF('_motor'!$B$594=0,"",IF(AND(G14&gt;2,H14&gt;2),"Variable oculta y además latente: su peso real está muy infravalorado en la lectura directa. Prioridad máxima de seguimiento.",IF(G14&gt;2,"Variable oculta: gobierna el sistema a través de cadenas indirectas.",IF(H14&gt;2,"Variable latente: hoy es secundaria, pero ganará peso si las relaciones potenciales se materializan.",IF(AND(G14&lt;-2,H14&lt;-2),"Su importancia aparente en la lectura directa no se sostiene ni por vía indirecta ni potencial.","Comportamiento estable en las distintas clasificaciones.")))))</f>
        <v/>
      </c>
    </row>
    <row r="15" spans="1:12" x14ac:dyDescent="0.2">
      <c r="A15" s="21">
        <f>IF('_motor'!$B$595=0,"",'02 · Variables'!$B$16)</f>
        <v/>
      </c>
      <c r="B15" s="19">
        <f>IF('_motor'!$B$595=0,"",'02 · Variables'!$C$16)</f>
        <v/>
      </c>
      <c r="C15" s="22">
        <f>IF('_motor'!$B$595=0,"",SUMPRODUCT('_motor'!$B$586:$B$665*('_motor'!$C$586:$C$665&gt;'_motor'!$C$595))+(SUMPRODUCT('_motor'!$B$586:$B$665*('_motor'!$C$586:$C$665='_motor'!$C$595))+1)/2)</f>
        <v/>
      </c>
      <c r="D15" s="22">
        <f>IF('_motor'!$B$595=0,"",SUMPRODUCT('_motor'!$B$586:$B$665*('_motor'!$E$586:$E$665&gt;'_motor'!$E$595))+(SUMPRODUCT('_motor'!$B$586:$B$665*('_motor'!$E$586:$E$665='_motor'!$E$595))+1)/2)</f>
        <v/>
      </c>
      <c r="E15" s="22">
        <f>IF('_motor'!$B$595=0,"",SUMPRODUCT('_motor'!$B$586:$B$665*('_motor'!$G$586:$G$665&gt;'_motor'!$G$595))+(SUMPRODUCT('_motor'!$B$586:$B$665*('_motor'!$G$586:$G$665='_motor'!$G$595))+1)/2)</f>
        <v/>
      </c>
      <c r="F15" s="22">
        <f>IF('_motor'!$B$595=0,"",SUMPRODUCT('_motor'!$B$586:$B$665*('_motor'!$I$586:$I$665&gt;'_motor'!$I$595))+(SUMPRODUCT('_motor'!$B$586:$B$665*('_motor'!$I$586:$I$665='_motor'!$I$595))+1)/2)</f>
        <v/>
      </c>
      <c r="G15" s="22">
        <f>IF('_motor'!$B$595=0,"",C15-D15)</f>
        <v/>
      </c>
      <c r="H15" s="22">
        <f>IF('_motor'!$B$595=0,"",C15-E15)</f>
        <v/>
      </c>
      <c r="I15" s="19">
        <f>IF('_motor'!$B$595=0,"",IF(AND(ABS('_motor'!$C$595-'_motor'!$B$668)&lt;='_motor'!$B$676+0.000000001,ABS('_motor'!$D$595-'_motor'!$B$668)&lt;='_motor'!$B$676+0.000000001),"5 · Pelotón (no concluyente)",IF(AND('_motor'!$C$595&gt;='_motor'!$B$668,'_motor'!$D$595&lt;'_motor'!$B$668),"1 · Entrada / determinante",IF(AND('_motor'!$C$595&gt;='_motor'!$B$668,'_motor'!$D$595&gt;='_motor'!$B$668),"2 · Intermedia / de enlace",IF(AND('_motor'!$C$595&lt;'_motor'!$B$668,'_motor'!$D$595&gt;='_motor'!$B$668),"3 · Resultado","4 · Excluida / autónoma")))))</f>
        <v/>
      </c>
      <c r="J15" s="19">
        <f>IF('_motor'!$B$595=0,"",IF(AND(ABS('_motor'!$I$595-'_motor'!$B$671)&lt;='_motor'!$B$679+0.000000001,ABS('_motor'!$J$595-'_motor'!$B$671)&lt;='_motor'!$B$679+0.000000001),"5 · Pelotón (no concluyente)",IF(AND('_motor'!$I$595&gt;='_motor'!$B$671,'_motor'!$J$595&lt;'_motor'!$B$671),"1 · Entrada / determinante",IF(AND('_motor'!$I$595&gt;='_motor'!$B$671,'_motor'!$J$595&gt;='_motor'!$B$671),"2 · Intermedia / de enlace",IF(AND('_motor'!$I$595&lt;'_motor'!$B$671,'_motor'!$J$595&gt;='_motor'!$B$671),"3 · Resultado","4 · Excluida / autónoma")))))</f>
        <v/>
      </c>
      <c r="K15" s="22">
        <f>IF('_motor'!$B$595=0,"",IF(LEFT(I15,1)=LEFT(J15,1),"No","SÍ"))</f>
        <v/>
      </c>
      <c r="L15" s="19">
        <f>IF('_motor'!$B$595=0,"",IF(AND(G15&gt;2,H15&gt;2),"Variable oculta y además latente: su peso real está muy infravalorado en la lectura directa. Prioridad máxima de seguimiento.",IF(G15&gt;2,"Variable oculta: gobierna el sistema a través de cadenas indirectas.",IF(H15&gt;2,"Variable latente: hoy es secundaria, pero ganará peso si las relaciones potenciales se materializan.",IF(AND(G15&lt;-2,H15&lt;-2),"Su importancia aparente en la lectura directa no se sostiene ni por vía indirecta ni potencial.","Comportamiento estable en las distintas clasificaciones.")))))</f>
        <v/>
      </c>
    </row>
    <row r="16" spans="1:12" x14ac:dyDescent="0.2">
      <c r="A16" s="21">
        <f>IF('_motor'!$B$596=0,"",'02 · Variables'!$B$17)</f>
        <v/>
      </c>
      <c r="B16" s="19">
        <f>IF('_motor'!$B$596=0,"",'02 · Variables'!$C$17)</f>
        <v/>
      </c>
      <c r="C16" s="22">
        <f>IF('_motor'!$B$596=0,"",SUMPRODUCT('_motor'!$B$586:$B$665*('_motor'!$C$586:$C$665&gt;'_motor'!$C$596))+(SUMPRODUCT('_motor'!$B$586:$B$665*('_motor'!$C$586:$C$665='_motor'!$C$596))+1)/2)</f>
        <v/>
      </c>
      <c r="D16" s="22">
        <f>IF('_motor'!$B$596=0,"",SUMPRODUCT('_motor'!$B$586:$B$665*('_motor'!$E$586:$E$665&gt;'_motor'!$E$596))+(SUMPRODUCT('_motor'!$B$586:$B$665*('_motor'!$E$586:$E$665='_motor'!$E$596))+1)/2)</f>
        <v/>
      </c>
      <c r="E16" s="22">
        <f>IF('_motor'!$B$596=0,"",SUMPRODUCT('_motor'!$B$586:$B$665*('_motor'!$G$586:$G$665&gt;'_motor'!$G$596))+(SUMPRODUCT('_motor'!$B$586:$B$665*('_motor'!$G$586:$G$665='_motor'!$G$596))+1)/2)</f>
        <v/>
      </c>
      <c r="F16" s="22">
        <f>IF('_motor'!$B$596=0,"",SUMPRODUCT('_motor'!$B$586:$B$665*('_motor'!$I$586:$I$665&gt;'_motor'!$I$596))+(SUMPRODUCT('_motor'!$B$586:$B$665*('_motor'!$I$586:$I$665='_motor'!$I$596))+1)/2)</f>
        <v/>
      </c>
      <c r="G16" s="22">
        <f>IF('_motor'!$B$596=0,"",C16-D16)</f>
        <v/>
      </c>
      <c r="H16" s="22">
        <f>IF('_motor'!$B$596=0,"",C16-E16)</f>
        <v/>
      </c>
      <c r="I16" s="19">
        <f>IF('_motor'!$B$596=0,"",IF(AND(ABS('_motor'!$C$596-'_motor'!$B$668)&lt;='_motor'!$B$676+0.000000001,ABS('_motor'!$D$596-'_motor'!$B$668)&lt;='_motor'!$B$676+0.000000001),"5 · Pelotón (no concluyente)",IF(AND('_motor'!$C$596&gt;='_motor'!$B$668,'_motor'!$D$596&lt;'_motor'!$B$668),"1 · Entrada / determinante",IF(AND('_motor'!$C$596&gt;='_motor'!$B$668,'_motor'!$D$596&gt;='_motor'!$B$668),"2 · Intermedia / de enlace",IF(AND('_motor'!$C$596&lt;'_motor'!$B$668,'_motor'!$D$596&gt;='_motor'!$B$668),"3 · Resultado","4 · Excluida / autónoma")))))</f>
        <v/>
      </c>
      <c r="J16" s="19">
        <f>IF('_motor'!$B$596=0,"",IF(AND(ABS('_motor'!$I$596-'_motor'!$B$671)&lt;='_motor'!$B$679+0.000000001,ABS('_motor'!$J$596-'_motor'!$B$671)&lt;='_motor'!$B$679+0.000000001),"5 · Pelotón (no concluyente)",IF(AND('_motor'!$I$596&gt;='_motor'!$B$671,'_motor'!$J$596&lt;'_motor'!$B$671),"1 · Entrada / determinante",IF(AND('_motor'!$I$596&gt;='_motor'!$B$671,'_motor'!$J$596&gt;='_motor'!$B$671),"2 · Intermedia / de enlace",IF(AND('_motor'!$I$596&lt;'_motor'!$B$671,'_motor'!$J$596&gt;='_motor'!$B$671),"3 · Resultado","4 · Excluida / autónoma")))))</f>
        <v/>
      </c>
      <c r="K16" s="22">
        <f>IF('_motor'!$B$596=0,"",IF(LEFT(I16,1)=LEFT(J16,1),"No","SÍ"))</f>
        <v/>
      </c>
      <c r="L16" s="19">
        <f>IF('_motor'!$B$596=0,"",IF(AND(G16&gt;2,H16&gt;2),"Variable oculta y además latente: su peso real está muy infravalorado en la lectura directa. Prioridad máxima de seguimiento.",IF(G16&gt;2,"Variable oculta: gobierna el sistema a través de cadenas indirectas.",IF(H16&gt;2,"Variable latente: hoy es secundaria, pero ganará peso si las relaciones potenciales se materializan.",IF(AND(G16&lt;-2,H16&lt;-2),"Su importancia aparente en la lectura directa no se sostiene ni por vía indirecta ni potencial.","Comportamiento estable en las distintas clasificaciones.")))))</f>
        <v/>
      </c>
    </row>
    <row r="17" spans="1:12" x14ac:dyDescent="0.2">
      <c r="A17" s="21">
        <f>IF('_motor'!$B$597=0,"",'02 · Variables'!$B$18)</f>
        <v/>
      </c>
      <c r="B17" s="19">
        <f>IF('_motor'!$B$597=0,"",'02 · Variables'!$C$18)</f>
        <v/>
      </c>
      <c r="C17" s="22">
        <f>IF('_motor'!$B$597=0,"",SUMPRODUCT('_motor'!$B$586:$B$665*('_motor'!$C$586:$C$665&gt;'_motor'!$C$597))+(SUMPRODUCT('_motor'!$B$586:$B$665*('_motor'!$C$586:$C$665='_motor'!$C$597))+1)/2)</f>
        <v/>
      </c>
      <c r="D17" s="22">
        <f>IF('_motor'!$B$597=0,"",SUMPRODUCT('_motor'!$B$586:$B$665*('_motor'!$E$586:$E$665&gt;'_motor'!$E$597))+(SUMPRODUCT('_motor'!$B$586:$B$665*('_motor'!$E$586:$E$665='_motor'!$E$597))+1)/2)</f>
        <v/>
      </c>
      <c r="E17" s="22">
        <f>IF('_motor'!$B$597=0,"",SUMPRODUCT('_motor'!$B$586:$B$665*('_motor'!$G$586:$G$665&gt;'_motor'!$G$597))+(SUMPRODUCT('_motor'!$B$586:$B$665*('_motor'!$G$586:$G$665='_motor'!$G$597))+1)/2)</f>
        <v/>
      </c>
      <c r="F17" s="22">
        <f>IF('_motor'!$B$597=0,"",SUMPRODUCT('_motor'!$B$586:$B$665*('_motor'!$I$586:$I$665&gt;'_motor'!$I$597))+(SUMPRODUCT('_motor'!$B$586:$B$665*('_motor'!$I$586:$I$665='_motor'!$I$597))+1)/2)</f>
        <v/>
      </c>
      <c r="G17" s="22">
        <f>IF('_motor'!$B$597=0,"",C17-D17)</f>
        <v/>
      </c>
      <c r="H17" s="22">
        <f>IF('_motor'!$B$597=0,"",C17-E17)</f>
        <v/>
      </c>
      <c r="I17" s="19">
        <f>IF('_motor'!$B$597=0,"",IF(AND(ABS('_motor'!$C$597-'_motor'!$B$668)&lt;='_motor'!$B$676+0.000000001,ABS('_motor'!$D$597-'_motor'!$B$668)&lt;='_motor'!$B$676+0.000000001),"5 · Pelotón (no concluyente)",IF(AND('_motor'!$C$597&gt;='_motor'!$B$668,'_motor'!$D$597&lt;'_motor'!$B$668),"1 · Entrada / determinante",IF(AND('_motor'!$C$597&gt;='_motor'!$B$668,'_motor'!$D$597&gt;='_motor'!$B$668),"2 · Intermedia / de enlace",IF(AND('_motor'!$C$597&lt;'_motor'!$B$668,'_motor'!$D$597&gt;='_motor'!$B$668),"3 · Resultado","4 · Excluida / autónoma")))))</f>
        <v/>
      </c>
      <c r="J17" s="19">
        <f>IF('_motor'!$B$597=0,"",IF(AND(ABS('_motor'!$I$597-'_motor'!$B$671)&lt;='_motor'!$B$679+0.000000001,ABS('_motor'!$J$597-'_motor'!$B$671)&lt;='_motor'!$B$679+0.000000001),"5 · Pelotón (no concluyente)",IF(AND('_motor'!$I$597&gt;='_motor'!$B$671,'_motor'!$J$597&lt;'_motor'!$B$671),"1 · Entrada / determinante",IF(AND('_motor'!$I$597&gt;='_motor'!$B$671,'_motor'!$J$597&gt;='_motor'!$B$671),"2 · Intermedia / de enlace",IF(AND('_motor'!$I$597&lt;'_motor'!$B$671,'_motor'!$J$597&gt;='_motor'!$B$671),"3 · Resultado","4 · Excluida / autónoma")))))</f>
        <v/>
      </c>
      <c r="K17" s="22">
        <f>IF('_motor'!$B$597=0,"",IF(LEFT(I17,1)=LEFT(J17,1),"No","SÍ"))</f>
        <v/>
      </c>
      <c r="L17" s="19">
        <f>IF('_motor'!$B$597=0,"",IF(AND(G17&gt;2,H17&gt;2),"Variable oculta y además latente: su peso real está muy infravalorado en la lectura directa. Prioridad máxima de seguimiento.",IF(G17&gt;2,"Variable oculta: gobierna el sistema a través de cadenas indirectas.",IF(H17&gt;2,"Variable latente: hoy es secundaria, pero ganará peso si las relaciones potenciales se materializan.",IF(AND(G17&lt;-2,H17&lt;-2),"Su importancia aparente en la lectura directa no se sostiene ni por vía indirecta ni potencial.","Comportamiento estable en las distintas clasificaciones.")))))</f>
        <v/>
      </c>
    </row>
    <row r="18" spans="1:12" x14ac:dyDescent="0.2">
      <c r="A18" s="21">
        <f>IF('_motor'!$B$598=0,"",'02 · Variables'!$B$19)</f>
        <v/>
      </c>
      <c r="B18" s="19">
        <f>IF('_motor'!$B$598=0,"",'02 · Variables'!$C$19)</f>
        <v/>
      </c>
      <c r="C18" s="22">
        <f>IF('_motor'!$B$598=0,"",SUMPRODUCT('_motor'!$B$586:$B$665*('_motor'!$C$586:$C$665&gt;'_motor'!$C$598))+(SUMPRODUCT('_motor'!$B$586:$B$665*('_motor'!$C$586:$C$665='_motor'!$C$598))+1)/2)</f>
        <v/>
      </c>
      <c r="D18" s="22">
        <f>IF('_motor'!$B$598=0,"",SUMPRODUCT('_motor'!$B$586:$B$665*('_motor'!$E$586:$E$665&gt;'_motor'!$E$598))+(SUMPRODUCT('_motor'!$B$586:$B$665*('_motor'!$E$586:$E$665='_motor'!$E$598))+1)/2)</f>
        <v/>
      </c>
      <c r="E18" s="22">
        <f>IF('_motor'!$B$598=0,"",SUMPRODUCT('_motor'!$B$586:$B$665*('_motor'!$G$586:$G$665&gt;'_motor'!$G$598))+(SUMPRODUCT('_motor'!$B$586:$B$665*('_motor'!$G$586:$G$665='_motor'!$G$598))+1)/2)</f>
        <v/>
      </c>
      <c r="F18" s="22">
        <f>IF('_motor'!$B$598=0,"",SUMPRODUCT('_motor'!$B$586:$B$665*('_motor'!$I$586:$I$665&gt;'_motor'!$I$598))+(SUMPRODUCT('_motor'!$B$586:$B$665*('_motor'!$I$586:$I$665='_motor'!$I$598))+1)/2)</f>
        <v/>
      </c>
      <c r="G18" s="22">
        <f>IF('_motor'!$B$598=0,"",C18-D18)</f>
        <v/>
      </c>
      <c r="H18" s="22">
        <f>IF('_motor'!$B$598=0,"",C18-E18)</f>
        <v/>
      </c>
      <c r="I18" s="19">
        <f>IF('_motor'!$B$598=0,"",IF(AND(ABS('_motor'!$C$598-'_motor'!$B$668)&lt;='_motor'!$B$676+0.000000001,ABS('_motor'!$D$598-'_motor'!$B$668)&lt;='_motor'!$B$676+0.000000001),"5 · Pelotón (no concluyente)",IF(AND('_motor'!$C$598&gt;='_motor'!$B$668,'_motor'!$D$598&lt;'_motor'!$B$668),"1 · Entrada / determinante",IF(AND('_motor'!$C$598&gt;='_motor'!$B$668,'_motor'!$D$598&gt;='_motor'!$B$668),"2 · Intermedia / de enlace",IF(AND('_motor'!$C$598&lt;'_motor'!$B$668,'_motor'!$D$598&gt;='_motor'!$B$668),"3 · Resultado","4 · Excluida / autónoma")))))</f>
        <v/>
      </c>
      <c r="J18" s="19">
        <f>IF('_motor'!$B$598=0,"",IF(AND(ABS('_motor'!$I$598-'_motor'!$B$671)&lt;='_motor'!$B$679+0.000000001,ABS('_motor'!$J$598-'_motor'!$B$671)&lt;='_motor'!$B$679+0.000000001),"5 · Pelotón (no concluyente)",IF(AND('_motor'!$I$598&gt;='_motor'!$B$671,'_motor'!$J$598&lt;'_motor'!$B$671),"1 · Entrada / determinante",IF(AND('_motor'!$I$598&gt;='_motor'!$B$671,'_motor'!$J$598&gt;='_motor'!$B$671),"2 · Intermedia / de enlace",IF(AND('_motor'!$I$598&lt;'_motor'!$B$671,'_motor'!$J$598&gt;='_motor'!$B$671),"3 · Resultado","4 · Excluida / autónoma")))))</f>
        <v/>
      </c>
      <c r="K18" s="22">
        <f>IF('_motor'!$B$598=0,"",IF(LEFT(I18,1)=LEFT(J18,1),"No","SÍ"))</f>
        <v/>
      </c>
      <c r="L18" s="19">
        <f>IF('_motor'!$B$598=0,"",IF(AND(G18&gt;2,H18&gt;2),"Variable oculta y además latente: su peso real está muy infravalorado en la lectura directa. Prioridad máxima de seguimiento.",IF(G18&gt;2,"Variable oculta: gobierna el sistema a través de cadenas indirectas.",IF(H18&gt;2,"Variable latente: hoy es secundaria, pero ganará peso si las relaciones potenciales se materializan.",IF(AND(G18&lt;-2,H18&lt;-2),"Su importancia aparente en la lectura directa no se sostiene ni por vía indirecta ni potencial.","Comportamiento estable en las distintas clasificaciones.")))))</f>
        <v/>
      </c>
    </row>
    <row r="19" spans="1:12" x14ac:dyDescent="0.2">
      <c r="A19" s="21">
        <f>IF('_motor'!$B$599=0,"",'02 · Variables'!$B$20)</f>
        <v/>
      </c>
      <c r="B19" s="19">
        <f>IF('_motor'!$B$599=0,"",'02 · Variables'!$C$20)</f>
        <v/>
      </c>
      <c r="C19" s="22">
        <f>IF('_motor'!$B$599=0,"",SUMPRODUCT('_motor'!$B$586:$B$665*('_motor'!$C$586:$C$665&gt;'_motor'!$C$599))+(SUMPRODUCT('_motor'!$B$586:$B$665*('_motor'!$C$586:$C$665='_motor'!$C$599))+1)/2)</f>
        <v/>
      </c>
      <c r="D19" s="22">
        <f>IF('_motor'!$B$599=0,"",SUMPRODUCT('_motor'!$B$586:$B$665*('_motor'!$E$586:$E$665&gt;'_motor'!$E$599))+(SUMPRODUCT('_motor'!$B$586:$B$665*('_motor'!$E$586:$E$665='_motor'!$E$599))+1)/2)</f>
        <v/>
      </c>
      <c r="E19" s="22">
        <f>IF('_motor'!$B$599=0,"",SUMPRODUCT('_motor'!$B$586:$B$665*('_motor'!$G$586:$G$665&gt;'_motor'!$G$599))+(SUMPRODUCT('_motor'!$B$586:$B$665*('_motor'!$G$586:$G$665='_motor'!$G$599))+1)/2)</f>
        <v/>
      </c>
      <c r="F19" s="22">
        <f>IF('_motor'!$B$599=0,"",SUMPRODUCT('_motor'!$B$586:$B$665*('_motor'!$I$586:$I$665&gt;'_motor'!$I$599))+(SUMPRODUCT('_motor'!$B$586:$B$665*('_motor'!$I$586:$I$665='_motor'!$I$599))+1)/2)</f>
        <v/>
      </c>
      <c r="G19" s="22">
        <f>IF('_motor'!$B$599=0,"",C19-D19)</f>
        <v/>
      </c>
      <c r="H19" s="22">
        <f>IF('_motor'!$B$599=0,"",C19-E19)</f>
        <v/>
      </c>
      <c r="I19" s="19">
        <f>IF('_motor'!$B$599=0,"",IF(AND(ABS('_motor'!$C$599-'_motor'!$B$668)&lt;='_motor'!$B$676+0.000000001,ABS('_motor'!$D$599-'_motor'!$B$668)&lt;='_motor'!$B$676+0.000000001),"5 · Pelotón (no concluyente)",IF(AND('_motor'!$C$599&gt;='_motor'!$B$668,'_motor'!$D$599&lt;'_motor'!$B$668),"1 · Entrada / determinante",IF(AND('_motor'!$C$599&gt;='_motor'!$B$668,'_motor'!$D$599&gt;='_motor'!$B$668),"2 · Intermedia / de enlace",IF(AND('_motor'!$C$599&lt;'_motor'!$B$668,'_motor'!$D$599&gt;='_motor'!$B$668),"3 · Resultado","4 · Excluida / autónoma")))))</f>
        <v/>
      </c>
      <c r="J19" s="19">
        <f>IF('_motor'!$B$599=0,"",IF(AND(ABS('_motor'!$I$599-'_motor'!$B$671)&lt;='_motor'!$B$679+0.000000001,ABS('_motor'!$J$599-'_motor'!$B$671)&lt;='_motor'!$B$679+0.000000001),"5 · Pelotón (no concluyente)",IF(AND('_motor'!$I$599&gt;='_motor'!$B$671,'_motor'!$J$599&lt;'_motor'!$B$671),"1 · Entrada / determinante",IF(AND('_motor'!$I$599&gt;='_motor'!$B$671,'_motor'!$J$599&gt;='_motor'!$B$671),"2 · Intermedia / de enlace",IF(AND('_motor'!$I$599&lt;'_motor'!$B$671,'_motor'!$J$599&gt;='_motor'!$B$671),"3 · Resultado","4 · Excluida / autónoma")))))</f>
        <v/>
      </c>
      <c r="K19" s="22">
        <f>IF('_motor'!$B$599=0,"",IF(LEFT(I19,1)=LEFT(J19,1),"No","SÍ"))</f>
        <v/>
      </c>
      <c r="L19" s="19">
        <f>IF('_motor'!$B$599=0,"",IF(AND(G19&gt;2,H19&gt;2),"Variable oculta y además latente: su peso real está muy infravalorado en la lectura directa. Prioridad máxima de seguimiento.",IF(G19&gt;2,"Variable oculta: gobierna el sistema a través de cadenas indirectas.",IF(H19&gt;2,"Variable latente: hoy es secundaria, pero ganará peso si las relaciones potenciales se materializan.",IF(AND(G19&lt;-2,H19&lt;-2),"Su importancia aparente en la lectura directa no se sostiene ni por vía indirecta ni potencial.","Comportamiento estable en las distintas clasificaciones.")))))</f>
        <v/>
      </c>
    </row>
    <row r="20" spans="1:12" x14ac:dyDescent="0.2">
      <c r="A20" s="21">
        <f>IF('_motor'!$B$600=0,"",'02 · Variables'!$B$21)</f>
        <v/>
      </c>
      <c r="B20" s="19">
        <f>IF('_motor'!$B$600=0,"",'02 · Variables'!$C$21)</f>
        <v/>
      </c>
      <c r="C20" s="22">
        <f>IF('_motor'!$B$600=0,"",SUMPRODUCT('_motor'!$B$586:$B$665*('_motor'!$C$586:$C$665&gt;'_motor'!$C$600))+(SUMPRODUCT('_motor'!$B$586:$B$665*('_motor'!$C$586:$C$665='_motor'!$C$600))+1)/2)</f>
        <v/>
      </c>
      <c r="D20" s="22">
        <f>IF('_motor'!$B$600=0,"",SUMPRODUCT('_motor'!$B$586:$B$665*('_motor'!$E$586:$E$665&gt;'_motor'!$E$600))+(SUMPRODUCT('_motor'!$B$586:$B$665*('_motor'!$E$586:$E$665='_motor'!$E$600))+1)/2)</f>
        <v/>
      </c>
      <c r="E20" s="22">
        <f>IF('_motor'!$B$600=0,"",SUMPRODUCT('_motor'!$B$586:$B$665*('_motor'!$G$586:$G$665&gt;'_motor'!$G$600))+(SUMPRODUCT('_motor'!$B$586:$B$665*('_motor'!$G$586:$G$665='_motor'!$G$600))+1)/2)</f>
        <v/>
      </c>
      <c r="F20" s="22">
        <f>IF('_motor'!$B$600=0,"",SUMPRODUCT('_motor'!$B$586:$B$665*('_motor'!$I$586:$I$665&gt;'_motor'!$I$600))+(SUMPRODUCT('_motor'!$B$586:$B$665*('_motor'!$I$586:$I$665='_motor'!$I$600))+1)/2)</f>
        <v/>
      </c>
      <c r="G20" s="22">
        <f>IF('_motor'!$B$600=0,"",C20-D20)</f>
        <v/>
      </c>
      <c r="H20" s="22">
        <f>IF('_motor'!$B$600=0,"",C20-E20)</f>
        <v/>
      </c>
      <c r="I20" s="19">
        <f>IF('_motor'!$B$600=0,"",IF(AND(ABS('_motor'!$C$600-'_motor'!$B$668)&lt;='_motor'!$B$676+0.000000001,ABS('_motor'!$D$600-'_motor'!$B$668)&lt;='_motor'!$B$676+0.000000001),"5 · Pelotón (no concluyente)",IF(AND('_motor'!$C$600&gt;='_motor'!$B$668,'_motor'!$D$600&lt;'_motor'!$B$668),"1 · Entrada / determinante",IF(AND('_motor'!$C$600&gt;='_motor'!$B$668,'_motor'!$D$600&gt;='_motor'!$B$668),"2 · Intermedia / de enlace",IF(AND('_motor'!$C$600&lt;'_motor'!$B$668,'_motor'!$D$600&gt;='_motor'!$B$668),"3 · Resultado","4 · Excluida / autónoma")))))</f>
        <v/>
      </c>
      <c r="J20" s="19">
        <f>IF('_motor'!$B$600=0,"",IF(AND(ABS('_motor'!$I$600-'_motor'!$B$671)&lt;='_motor'!$B$679+0.000000001,ABS('_motor'!$J$600-'_motor'!$B$671)&lt;='_motor'!$B$679+0.000000001),"5 · Pelotón (no concluyente)",IF(AND('_motor'!$I$600&gt;='_motor'!$B$671,'_motor'!$J$600&lt;'_motor'!$B$671),"1 · Entrada / determinante",IF(AND('_motor'!$I$600&gt;='_motor'!$B$671,'_motor'!$J$600&gt;='_motor'!$B$671),"2 · Intermedia / de enlace",IF(AND('_motor'!$I$600&lt;'_motor'!$B$671,'_motor'!$J$600&gt;='_motor'!$B$671),"3 · Resultado","4 · Excluida / autónoma")))))</f>
        <v/>
      </c>
      <c r="K20" s="22">
        <f>IF('_motor'!$B$600=0,"",IF(LEFT(I20,1)=LEFT(J20,1),"No","SÍ"))</f>
        <v/>
      </c>
      <c r="L20" s="19">
        <f>IF('_motor'!$B$600=0,"",IF(AND(G20&gt;2,H20&gt;2),"Variable oculta y además latente: su peso real está muy infravalorado en la lectura directa. Prioridad máxima de seguimiento.",IF(G20&gt;2,"Variable oculta: gobierna el sistema a través de cadenas indirectas.",IF(H20&gt;2,"Variable latente: hoy es secundaria, pero ganará peso si las relaciones potenciales se materializan.",IF(AND(G20&lt;-2,H20&lt;-2),"Su importancia aparente en la lectura directa no se sostiene ni por vía indirecta ni potencial.","Comportamiento estable en las distintas clasificaciones.")))))</f>
        <v/>
      </c>
    </row>
    <row r="21" spans="1:12" x14ac:dyDescent="0.2">
      <c r="A21" s="21">
        <f>IF('_motor'!$B$601=0,"",'02 · Variables'!$B$22)</f>
        <v/>
      </c>
      <c r="B21" s="19">
        <f>IF('_motor'!$B$601=0,"",'02 · Variables'!$C$22)</f>
        <v/>
      </c>
      <c r="C21" s="22">
        <f>IF('_motor'!$B$601=0,"",SUMPRODUCT('_motor'!$B$586:$B$665*('_motor'!$C$586:$C$665&gt;'_motor'!$C$601))+(SUMPRODUCT('_motor'!$B$586:$B$665*('_motor'!$C$586:$C$665='_motor'!$C$601))+1)/2)</f>
        <v/>
      </c>
      <c r="D21" s="22">
        <f>IF('_motor'!$B$601=0,"",SUMPRODUCT('_motor'!$B$586:$B$665*('_motor'!$E$586:$E$665&gt;'_motor'!$E$601))+(SUMPRODUCT('_motor'!$B$586:$B$665*('_motor'!$E$586:$E$665='_motor'!$E$601))+1)/2)</f>
        <v/>
      </c>
      <c r="E21" s="22">
        <f>IF('_motor'!$B$601=0,"",SUMPRODUCT('_motor'!$B$586:$B$665*('_motor'!$G$586:$G$665&gt;'_motor'!$G$601))+(SUMPRODUCT('_motor'!$B$586:$B$665*('_motor'!$G$586:$G$665='_motor'!$G$601))+1)/2)</f>
        <v/>
      </c>
      <c r="F21" s="22">
        <f>IF('_motor'!$B$601=0,"",SUMPRODUCT('_motor'!$B$586:$B$665*('_motor'!$I$586:$I$665&gt;'_motor'!$I$601))+(SUMPRODUCT('_motor'!$B$586:$B$665*('_motor'!$I$586:$I$665='_motor'!$I$601))+1)/2)</f>
        <v/>
      </c>
      <c r="G21" s="22">
        <f>IF('_motor'!$B$601=0,"",C21-D21)</f>
        <v/>
      </c>
      <c r="H21" s="22">
        <f>IF('_motor'!$B$601=0,"",C21-E21)</f>
        <v/>
      </c>
      <c r="I21" s="19">
        <f>IF('_motor'!$B$601=0,"",IF(AND(ABS('_motor'!$C$601-'_motor'!$B$668)&lt;='_motor'!$B$676+0.000000001,ABS('_motor'!$D$601-'_motor'!$B$668)&lt;='_motor'!$B$676+0.000000001),"5 · Pelotón (no concluyente)",IF(AND('_motor'!$C$601&gt;='_motor'!$B$668,'_motor'!$D$601&lt;'_motor'!$B$668),"1 · Entrada / determinante",IF(AND('_motor'!$C$601&gt;='_motor'!$B$668,'_motor'!$D$601&gt;='_motor'!$B$668),"2 · Intermedia / de enlace",IF(AND('_motor'!$C$601&lt;'_motor'!$B$668,'_motor'!$D$601&gt;='_motor'!$B$668),"3 · Resultado","4 · Excluida / autónoma")))))</f>
        <v/>
      </c>
      <c r="J21" s="19">
        <f>IF('_motor'!$B$601=0,"",IF(AND(ABS('_motor'!$I$601-'_motor'!$B$671)&lt;='_motor'!$B$679+0.000000001,ABS('_motor'!$J$601-'_motor'!$B$671)&lt;='_motor'!$B$679+0.000000001),"5 · Pelotón (no concluyente)",IF(AND('_motor'!$I$601&gt;='_motor'!$B$671,'_motor'!$J$601&lt;'_motor'!$B$671),"1 · Entrada / determinante",IF(AND('_motor'!$I$601&gt;='_motor'!$B$671,'_motor'!$J$601&gt;='_motor'!$B$671),"2 · Intermedia / de enlace",IF(AND('_motor'!$I$601&lt;'_motor'!$B$671,'_motor'!$J$601&gt;='_motor'!$B$671),"3 · Resultado","4 · Excluida / autónoma")))))</f>
        <v/>
      </c>
      <c r="K21" s="22">
        <f>IF('_motor'!$B$601=0,"",IF(LEFT(I21,1)=LEFT(J21,1),"No","SÍ"))</f>
        <v/>
      </c>
      <c r="L21" s="19">
        <f>IF('_motor'!$B$601=0,"",IF(AND(G21&gt;2,H21&gt;2),"Variable oculta y además latente: su peso real está muy infravalorado en la lectura directa. Prioridad máxima de seguimiento.",IF(G21&gt;2,"Variable oculta: gobierna el sistema a través de cadenas indirectas.",IF(H21&gt;2,"Variable latente: hoy es secundaria, pero ganará peso si las relaciones potenciales se materializan.",IF(AND(G21&lt;-2,H21&lt;-2),"Su importancia aparente en la lectura directa no se sostiene ni por vía indirecta ni potencial.","Comportamiento estable en las distintas clasificaciones.")))))</f>
        <v/>
      </c>
    </row>
    <row r="22" spans="1:12" x14ac:dyDescent="0.2">
      <c r="A22" s="21">
        <f>IF('_motor'!$B$602=0,"",'02 · Variables'!$B$23)</f>
        <v/>
      </c>
      <c r="B22" s="19">
        <f>IF('_motor'!$B$602=0,"",'02 · Variables'!$C$23)</f>
        <v/>
      </c>
      <c r="C22" s="22">
        <f>IF('_motor'!$B$602=0,"",SUMPRODUCT('_motor'!$B$586:$B$665*('_motor'!$C$586:$C$665&gt;'_motor'!$C$602))+(SUMPRODUCT('_motor'!$B$586:$B$665*('_motor'!$C$586:$C$665='_motor'!$C$602))+1)/2)</f>
        <v/>
      </c>
      <c r="D22" s="22">
        <f>IF('_motor'!$B$602=0,"",SUMPRODUCT('_motor'!$B$586:$B$665*('_motor'!$E$586:$E$665&gt;'_motor'!$E$602))+(SUMPRODUCT('_motor'!$B$586:$B$665*('_motor'!$E$586:$E$665='_motor'!$E$602))+1)/2)</f>
        <v/>
      </c>
      <c r="E22" s="22">
        <f>IF('_motor'!$B$602=0,"",SUMPRODUCT('_motor'!$B$586:$B$665*('_motor'!$G$586:$G$665&gt;'_motor'!$G$602))+(SUMPRODUCT('_motor'!$B$586:$B$665*('_motor'!$G$586:$G$665='_motor'!$G$602))+1)/2)</f>
        <v/>
      </c>
      <c r="F22" s="22">
        <f>IF('_motor'!$B$602=0,"",SUMPRODUCT('_motor'!$B$586:$B$665*('_motor'!$I$586:$I$665&gt;'_motor'!$I$602))+(SUMPRODUCT('_motor'!$B$586:$B$665*('_motor'!$I$586:$I$665='_motor'!$I$602))+1)/2)</f>
        <v/>
      </c>
      <c r="G22" s="22">
        <f>IF('_motor'!$B$602=0,"",C22-D22)</f>
        <v/>
      </c>
      <c r="H22" s="22">
        <f>IF('_motor'!$B$602=0,"",C22-E22)</f>
        <v/>
      </c>
      <c r="I22" s="19">
        <f>IF('_motor'!$B$602=0,"",IF(AND(ABS('_motor'!$C$602-'_motor'!$B$668)&lt;='_motor'!$B$676+0.000000001,ABS('_motor'!$D$602-'_motor'!$B$668)&lt;='_motor'!$B$676+0.000000001),"5 · Pelotón (no concluyente)",IF(AND('_motor'!$C$602&gt;='_motor'!$B$668,'_motor'!$D$602&lt;'_motor'!$B$668),"1 · Entrada / determinante",IF(AND('_motor'!$C$602&gt;='_motor'!$B$668,'_motor'!$D$602&gt;='_motor'!$B$668),"2 · Intermedia / de enlace",IF(AND('_motor'!$C$602&lt;'_motor'!$B$668,'_motor'!$D$602&gt;='_motor'!$B$668),"3 · Resultado","4 · Excluida / autónoma")))))</f>
        <v/>
      </c>
      <c r="J22" s="19">
        <f>IF('_motor'!$B$602=0,"",IF(AND(ABS('_motor'!$I$602-'_motor'!$B$671)&lt;='_motor'!$B$679+0.000000001,ABS('_motor'!$J$602-'_motor'!$B$671)&lt;='_motor'!$B$679+0.000000001),"5 · Pelotón (no concluyente)",IF(AND('_motor'!$I$602&gt;='_motor'!$B$671,'_motor'!$J$602&lt;'_motor'!$B$671),"1 · Entrada / determinante",IF(AND('_motor'!$I$602&gt;='_motor'!$B$671,'_motor'!$J$602&gt;='_motor'!$B$671),"2 · Intermedia / de enlace",IF(AND('_motor'!$I$602&lt;'_motor'!$B$671,'_motor'!$J$602&gt;='_motor'!$B$671),"3 · Resultado","4 · Excluida / autónoma")))))</f>
        <v/>
      </c>
      <c r="K22" s="22">
        <f>IF('_motor'!$B$602=0,"",IF(LEFT(I22,1)=LEFT(J22,1),"No","SÍ"))</f>
        <v/>
      </c>
      <c r="L22" s="19">
        <f>IF('_motor'!$B$602=0,"",IF(AND(G22&gt;2,H22&gt;2),"Variable oculta y además latente: su peso real está muy infravalorado en la lectura directa. Prioridad máxima de seguimiento.",IF(G22&gt;2,"Variable oculta: gobierna el sistema a través de cadenas indirectas.",IF(H22&gt;2,"Variable latente: hoy es secundaria, pero ganará peso si las relaciones potenciales se materializan.",IF(AND(G22&lt;-2,H22&lt;-2),"Su importancia aparente en la lectura directa no se sostiene ni por vía indirecta ni potencial.","Comportamiento estable en las distintas clasificaciones.")))))</f>
        <v/>
      </c>
    </row>
    <row r="23" spans="1:12" x14ac:dyDescent="0.2">
      <c r="A23" s="21">
        <f>IF('_motor'!$B$603=0,"",'02 · Variables'!$B$24)</f>
        <v/>
      </c>
      <c r="B23" s="19">
        <f>IF('_motor'!$B$603=0,"",'02 · Variables'!$C$24)</f>
        <v/>
      </c>
      <c r="C23" s="22">
        <f>IF('_motor'!$B$603=0,"",SUMPRODUCT('_motor'!$B$586:$B$665*('_motor'!$C$586:$C$665&gt;'_motor'!$C$603))+(SUMPRODUCT('_motor'!$B$586:$B$665*('_motor'!$C$586:$C$665='_motor'!$C$603))+1)/2)</f>
        <v/>
      </c>
      <c r="D23" s="22">
        <f>IF('_motor'!$B$603=0,"",SUMPRODUCT('_motor'!$B$586:$B$665*('_motor'!$E$586:$E$665&gt;'_motor'!$E$603))+(SUMPRODUCT('_motor'!$B$586:$B$665*('_motor'!$E$586:$E$665='_motor'!$E$603))+1)/2)</f>
        <v/>
      </c>
      <c r="E23" s="22">
        <f>IF('_motor'!$B$603=0,"",SUMPRODUCT('_motor'!$B$586:$B$665*('_motor'!$G$586:$G$665&gt;'_motor'!$G$603))+(SUMPRODUCT('_motor'!$B$586:$B$665*('_motor'!$G$586:$G$665='_motor'!$G$603))+1)/2)</f>
        <v/>
      </c>
      <c r="F23" s="22">
        <f>IF('_motor'!$B$603=0,"",SUMPRODUCT('_motor'!$B$586:$B$665*('_motor'!$I$586:$I$665&gt;'_motor'!$I$603))+(SUMPRODUCT('_motor'!$B$586:$B$665*('_motor'!$I$586:$I$665='_motor'!$I$603))+1)/2)</f>
        <v/>
      </c>
      <c r="G23" s="22">
        <f>IF('_motor'!$B$603=0,"",C23-D23)</f>
        <v/>
      </c>
      <c r="H23" s="22">
        <f>IF('_motor'!$B$603=0,"",C23-E23)</f>
        <v/>
      </c>
      <c r="I23" s="19">
        <f>IF('_motor'!$B$603=0,"",IF(AND(ABS('_motor'!$C$603-'_motor'!$B$668)&lt;='_motor'!$B$676+0.000000001,ABS('_motor'!$D$603-'_motor'!$B$668)&lt;='_motor'!$B$676+0.000000001),"5 · Pelotón (no concluyente)",IF(AND('_motor'!$C$603&gt;='_motor'!$B$668,'_motor'!$D$603&lt;'_motor'!$B$668),"1 · Entrada / determinante",IF(AND('_motor'!$C$603&gt;='_motor'!$B$668,'_motor'!$D$603&gt;='_motor'!$B$668),"2 · Intermedia / de enlace",IF(AND('_motor'!$C$603&lt;'_motor'!$B$668,'_motor'!$D$603&gt;='_motor'!$B$668),"3 · Resultado","4 · Excluida / autónoma")))))</f>
        <v/>
      </c>
      <c r="J23" s="19">
        <f>IF('_motor'!$B$603=0,"",IF(AND(ABS('_motor'!$I$603-'_motor'!$B$671)&lt;='_motor'!$B$679+0.000000001,ABS('_motor'!$J$603-'_motor'!$B$671)&lt;='_motor'!$B$679+0.000000001),"5 · Pelotón (no concluyente)",IF(AND('_motor'!$I$603&gt;='_motor'!$B$671,'_motor'!$J$603&lt;'_motor'!$B$671),"1 · Entrada / determinante",IF(AND('_motor'!$I$603&gt;='_motor'!$B$671,'_motor'!$J$603&gt;='_motor'!$B$671),"2 · Intermedia / de enlace",IF(AND('_motor'!$I$603&lt;'_motor'!$B$671,'_motor'!$J$603&gt;='_motor'!$B$671),"3 · Resultado","4 · Excluida / autónoma")))))</f>
        <v/>
      </c>
      <c r="K23" s="22">
        <f>IF('_motor'!$B$603=0,"",IF(LEFT(I23,1)=LEFT(J23,1),"No","SÍ"))</f>
        <v/>
      </c>
      <c r="L23" s="19">
        <f>IF('_motor'!$B$603=0,"",IF(AND(G23&gt;2,H23&gt;2),"Variable oculta y además latente: su peso real está muy infravalorado en la lectura directa. Prioridad máxima de seguimiento.",IF(G23&gt;2,"Variable oculta: gobierna el sistema a través de cadenas indirectas.",IF(H23&gt;2,"Variable latente: hoy es secundaria, pero ganará peso si las relaciones potenciales se materializan.",IF(AND(G23&lt;-2,H23&lt;-2),"Su importancia aparente en la lectura directa no se sostiene ni por vía indirecta ni potencial.","Comportamiento estable en las distintas clasificaciones.")))))</f>
        <v/>
      </c>
    </row>
    <row r="24" spans="1:12" x14ac:dyDescent="0.2">
      <c r="A24" s="21">
        <f>IF('_motor'!$B$604=0,"",'02 · Variables'!$B$25)</f>
        <v/>
      </c>
      <c r="B24" s="19">
        <f>IF('_motor'!$B$604=0,"",'02 · Variables'!$C$25)</f>
        <v/>
      </c>
      <c r="C24" s="22">
        <f>IF('_motor'!$B$604=0,"",SUMPRODUCT('_motor'!$B$586:$B$665*('_motor'!$C$586:$C$665&gt;'_motor'!$C$604))+(SUMPRODUCT('_motor'!$B$586:$B$665*('_motor'!$C$586:$C$665='_motor'!$C$604))+1)/2)</f>
        <v/>
      </c>
      <c r="D24" s="22">
        <f>IF('_motor'!$B$604=0,"",SUMPRODUCT('_motor'!$B$586:$B$665*('_motor'!$E$586:$E$665&gt;'_motor'!$E$604))+(SUMPRODUCT('_motor'!$B$586:$B$665*('_motor'!$E$586:$E$665='_motor'!$E$604))+1)/2)</f>
        <v/>
      </c>
      <c r="E24" s="22">
        <f>IF('_motor'!$B$604=0,"",SUMPRODUCT('_motor'!$B$586:$B$665*('_motor'!$G$586:$G$665&gt;'_motor'!$G$604))+(SUMPRODUCT('_motor'!$B$586:$B$665*('_motor'!$G$586:$G$665='_motor'!$G$604))+1)/2)</f>
        <v/>
      </c>
      <c r="F24" s="22">
        <f>IF('_motor'!$B$604=0,"",SUMPRODUCT('_motor'!$B$586:$B$665*('_motor'!$I$586:$I$665&gt;'_motor'!$I$604))+(SUMPRODUCT('_motor'!$B$586:$B$665*('_motor'!$I$586:$I$665='_motor'!$I$604))+1)/2)</f>
        <v/>
      </c>
      <c r="G24" s="22">
        <f>IF('_motor'!$B$604=0,"",C24-D24)</f>
        <v/>
      </c>
      <c r="H24" s="22">
        <f>IF('_motor'!$B$604=0,"",C24-E24)</f>
        <v/>
      </c>
      <c r="I24" s="19">
        <f>IF('_motor'!$B$604=0,"",IF(AND(ABS('_motor'!$C$604-'_motor'!$B$668)&lt;='_motor'!$B$676+0.000000001,ABS('_motor'!$D$604-'_motor'!$B$668)&lt;='_motor'!$B$676+0.000000001),"5 · Pelotón (no concluyente)",IF(AND('_motor'!$C$604&gt;='_motor'!$B$668,'_motor'!$D$604&lt;'_motor'!$B$668),"1 · Entrada / determinante",IF(AND('_motor'!$C$604&gt;='_motor'!$B$668,'_motor'!$D$604&gt;='_motor'!$B$668),"2 · Intermedia / de enlace",IF(AND('_motor'!$C$604&lt;'_motor'!$B$668,'_motor'!$D$604&gt;='_motor'!$B$668),"3 · Resultado","4 · Excluida / autónoma")))))</f>
        <v/>
      </c>
      <c r="J24" s="19">
        <f>IF('_motor'!$B$604=0,"",IF(AND(ABS('_motor'!$I$604-'_motor'!$B$671)&lt;='_motor'!$B$679+0.000000001,ABS('_motor'!$J$604-'_motor'!$B$671)&lt;='_motor'!$B$679+0.000000001),"5 · Pelotón (no concluyente)",IF(AND('_motor'!$I$604&gt;='_motor'!$B$671,'_motor'!$J$604&lt;'_motor'!$B$671),"1 · Entrada / determinante",IF(AND('_motor'!$I$604&gt;='_motor'!$B$671,'_motor'!$J$604&gt;='_motor'!$B$671),"2 · Intermedia / de enlace",IF(AND('_motor'!$I$604&lt;'_motor'!$B$671,'_motor'!$J$604&gt;='_motor'!$B$671),"3 · Resultado","4 · Excluida / autónoma")))))</f>
        <v/>
      </c>
      <c r="K24" s="22">
        <f>IF('_motor'!$B$604=0,"",IF(LEFT(I24,1)=LEFT(J24,1),"No","SÍ"))</f>
        <v/>
      </c>
      <c r="L24" s="19">
        <f>IF('_motor'!$B$604=0,"",IF(AND(G24&gt;2,H24&gt;2),"Variable oculta y además latente: su peso real está muy infravalorado en la lectura directa. Prioridad máxima de seguimiento.",IF(G24&gt;2,"Variable oculta: gobierna el sistema a través de cadenas indirectas.",IF(H24&gt;2,"Variable latente: hoy es secundaria, pero ganará peso si las relaciones potenciales se materializan.",IF(AND(G24&lt;-2,H24&lt;-2),"Su importancia aparente en la lectura directa no se sostiene ni por vía indirecta ni potencial.","Comportamiento estable en las distintas clasificaciones.")))))</f>
        <v/>
      </c>
    </row>
    <row r="25" spans="1:12" x14ac:dyDescent="0.2">
      <c r="A25" s="21">
        <f>IF('_motor'!$B$605=0,"",'02 · Variables'!$B$26)</f>
        <v/>
      </c>
      <c r="B25" s="19">
        <f>IF('_motor'!$B$605=0,"",'02 · Variables'!$C$26)</f>
        <v/>
      </c>
      <c r="C25" s="22">
        <f>IF('_motor'!$B$605=0,"",SUMPRODUCT('_motor'!$B$586:$B$665*('_motor'!$C$586:$C$665&gt;'_motor'!$C$605))+(SUMPRODUCT('_motor'!$B$586:$B$665*('_motor'!$C$586:$C$665='_motor'!$C$605))+1)/2)</f>
        <v/>
      </c>
      <c r="D25" s="22">
        <f>IF('_motor'!$B$605=0,"",SUMPRODUCT('_motor'!$B$586:$B$665*('_motor'!$E$586:$E$665&gt;'_motor'!$E$605))+(SUMPRODUCT('_motor'!$B$586:$B$665*('_motor'!$E$586:$E$665='_motor'!$E$605))+1)/2)</f>
        <v/>
      </c>
      <c r="E25" s="22">
        <f>IF('_motor'!$B$605=0,"",SUMPRODUCT('_motor'!$B$586:$B$665*('_motor'!$G$586:$G$665&gt;'_motor'!$G$605))+(SUMPRODUCT('_motor'!$B$586:$B$665*('_motor'!$G$586:$G$665='_motor'!$G$605))+1)/2)</f>
        <v/>
      </c>
      <c r="F25" s="22">
        <f>IF('_motor'!$B$605=0,"",SUMPRODUCT('_motor'!$B$586:$B$665*('_motor'!$I$586:$I$665&gt;'_motor'!$I$605))+(SUMPRODUCT('_motor'!$B$586:$B$665*('_motor'!$I$586:$I$665='_motor'!$I$605))+1)/2)</f>
        <v/>
      </c>
      <c r="G25" s="22">
        <f>IF('_motor'!$B$605=0,"",C25-D25)</f>
        <v/>
      </c>
      <c r="H25" s="22">
        <f>IF('_motor'!$B$605=0,"",C25-E25)</f>
        <v/>
      </c>
      <c r="I25" s="19">
        <f>IF('_motor'!$B$605=0,"",IF(AND(ABS('_motor'!$C$605-'_motor'!$B$668)&lt;='_motor'!$B$676+0.000000001,ABS('_motor'!$D$605-'_motor'!$B$668)&lt;='_motor'!$B$676+0.000000001),"5 · Pelotón (no concluyente)",IF(AND('_motor'!$C$605&gt;='_motor'!$B$668,'_motor'!$D$605&lt;'_motor'!$B$668),"1 · Entrada / determinante",IF(AND('_motor'!$C$605&gt;='_motor'!$B$668,'_motor'!$D$605&gt;='_motor'!$B$668),"2 · Intermedia / de enlace",IF(AND('_motor'!$C$605&lt;'_motor'!$B$668,'_motor'!$D$605&gt;='_motor'!$B$668),"3 · Resultado","4 · Excluida / autónoma")))))</f>
        <v/>
      </c>
      <c r="J25" s="19">
        <f>IF('_motor'!$B$605=0,"",IF(AND(ABS('_motor'!$I$605-'_motor'!$B$671)&lt;='_motor'!$B$679+0.000000001,ABS('_motor'!$J$605-'_motor'!$B$671)&lt;='_motor'!$B$679+0.000000001),"5 · Pelotón (no concluyente)",IF(AND('_motor'!$I$605&gt;='_motor'!$B$671,'_motor'!$J$605&lt;'_motor'!$B$671),"1 · Entrada / determinante",IF(AND('_motor'!$I$605&gt;='_motor'!$B$671,'_motor'!$J$605&gt;='_motor'!$B$671),"2 · Intermedia / de enlace",IF(AND('_motor'!$I$605&lt;'_motor'!$B$671,'_motor'!$J$605&gt;='_motor'!$B$671),"3 · Resultado","4 · Excluida / autónoma")))))</f>
        <v/>
      </c>
      <c r="K25" s="22">
        <f>IF('_motor'!$B$605=0,"",IF(LEFT(I25,1)=LEFT(J25,1),"No","SÍ"))</f>
        <v/>
      </c>
      <c r="L25" s="19">
        <f>IF('_motor'!$B$605=0,"",IF(AND(G25&gt;2,H25&gt;2),"Variable oculta y además latente: su peso real está muy infravalorado en la lectura directa. Prioridad máxima de seguimiento.",IF(G25&gt;2,"Variable oculta: gobierna el sistema a través de cadenas indirectas.",IF(H25&gt;2,"Variable latente: hoy es secundaria, pero ganará peso si las relaciones potenciales se materializan.",IF(AND(G25&lt;-2,H25&lt;-2),"Su importancia aparente en la lectura directa no se sostiene ni por vía indirecta ni potencial.","Comportamiento estable en las distintas clasificaciones.")))))</f>
        <v/>
      </c>
    </row>
    <row r="26" spans="1:12" x14ac:dyDescent="0.2">
      <c r="A26" s="21">
        <f>IF('_motor'!$B$606=0,"",'02 · Variables'!$B$27)</f>
        <v/>
      </c>
      <c r="B26" s="19">
        <f>IF('_motor'!$B$606=0,"",'02 · Variables'!$C$27)</f>
        <v/>
      </c>
      <c r="C26" s="22">
        <f>IF('_motor'!$B$606=0,"",SUMPRODUCT('_motor'!$B$586:$B$665*('_motor'!$C$586:$C$665&gt;'_motor'!$C$606))+(SUMPRODUCT('_motor'!$B$586:$B$665*('_motor'!$C$586:$C$665='_motor'!$C$606))+1)/2)</f>
        <v/>
      </c>
      <c r="D26" s="22">
        <f>IF('_motor'!$B$606=0,"",SUMPRODUCT('_motor'!$B$586:$B$665*('_motor'!$E$586:$E$665&gt;'_motor'!$E$606))+(SUMPRODUCT('_motor'!$B$586:$B$665*('_motor'!$E$586:$E$665='_motor'!$E$606))+1)/2)</f>
        <v/>
      </c>
      <c r="E26" s="22">
        <f>IF('_motor'!$B$606=0,"",SUMPRODUCT('_motor'!$B$586:$B$665*('_motor'!$G$586:$G$665&gt;'_motor'!$G$606))+(SUMPRODUCT('_motor'!$B$586:$B$665*('_motor'!$G$586:$G$665='_motor'!$G$606))+1)/2)</f>
        <v/>
      </c>
      <c r="F26" s="22">
        <f>IF('_motor'!$B$606=0,"",SUMPRODUCT('_motor'!$B$586:$B$665*('_motor'!$I$586:$I$665&gt;'_motor'!$I$606))+(SUMPRODUCT('_motor'!$B$586:$B$665*('_motor'!$I$586:$I$665='_motor'!$I$606))+1)/2)</f>
        <v/>
      </c>
      <c r="G26" s="22">
        <f>IF('_motor'!$B$606=0,"",C26-D26)</f>
        <v/>
      </c>
      <c r="H26" s="22">
        <f>IF('_motor'!$B$606=0,"",C26-E26)</f>
        <v/>
      </c>
      <c r="I26" s="19">
        <f>IF('_motor'!$B$606=0,"",IF(AND(ABS('_motor'!$C$606-'_motor'!$B$668)&lt;='_motor'!$B$676+0.000000001,ABS('_motor'!$D$606-'_motor'!$B$668)&lt;='_motor'!$B$676+0.000000001),"5 · Pelotón (no concluyente)",IF(AND('_motor'!$C$606&gt;='_motor'!$B$668,'_motor'!$D$606&lt;'_motor'!$B$668),"1 · Entrada / determinante",IF(AND('_motor'!$C$606&gt;='_motor'!$B$668,'_motor'!$D$606&gt;='_motor'!$B$668),"2 · Intermedia / de enlace",IF(AND('_motor'!$C$606&lt;'_motor'!$B$668,'_motor'!$D$606&gt;='_motor'!$B$668),"3 · Resultado","4 · Excluida / autónoma")))))</f>
        <v/>
      </c>
      <c r="J26" s="19">
        <f>IF('_motor'!$B$606=0,"",IF(AND(ABS('_motor'!$I$606-'_motor'!$B$671)&lt;='_motor'!$B$679+0.000000001,ABS('_motor'!$J$606-'_motor'!$B$671)&lt;='_motor'!$B$679+0.000000001),"5 · Pelotón (no concluyente)",IF(AND('_motor'!$I$606&gt;='_motor'!$B$671,'_motor'!$J$606&lt;'_motor'!$B$671),"1 · Entrada / determinante",IF(AND('_motor'!$I$606&gt;='_motor'!$B$671,'_motor'!$J$606&gt;='_motor'!$B$671),"2 · Intermedia / de enlace",IF(AND('_motor'!$I$606&lt;'_motor'!$B$671,'_motor'!$J$606&gt;='_motor'!$B$671),"3 · Resultado","4 · Excluida / autónoma")))))</f>
        <v/>
      </c>
      <c r="K26" s="22">
        <f>IF('_motor'!$B$606=0,"",IF(LEFT(I26,1)=LEFT(J26,1),"No","SÍ"))</f>
        <v/>
      </c>
      <c r="L26" s="19">
        <f>IF('_motor'!$B$606=0,"",IF(AND(G26&gt;2,H26&gt;2),"Variable oculta y además latente: su peso real está muy infravalorado en la lectura directa. Prioridad máxima de seguimiento.",IF(G26&gt;2,"Variable oculta: gobierna el sistema a través de cadenas indirectas.",IF(H26&gt;2,"Variable latente: hoy es secundaria, pero ganará peso si las relaciones potenciales se materializan.",IF(AND(G26&lt;-2,H26&lt;-2),"Su importancia aparente en la lectura directa no se sostiene ni por vía indirecta ni potencial.","Comportamiento estable en las distintas clasificaciones.")))))</f>
        <v/>
      </c>
    </row>
    <row r="27" spans="1:12" x14ac:dyDescent="0.2">
      <c r="A27" s="21">
        <f>IF('_motor'!$B$607=0,"",'02 · Variables'!$B$28)</f>
        <v/>
      </c>
      <c r="B27" s="19">
        <f>IF('_motor'!$B$607=0,"",'02 · Variables'!$C$28)</f>
        <v/>
      </c>
      <c r="C27" s="22">
        <f>IF('_motor'!$B$607=0,"",SUMPRODUCT('_motor'!$B$586:$B$665*('_motor'!$C$586:$C$665&gt;'_motor'!$C$607))+(SUMPRODUCT('_motor'!$B$586:$B$665*('_motor'!$C$586:$C$665='_motor'!$C$607))+1)/2)</f>
        <v/>
      </c>
      <c r="D27" s="22">
        <f>IF('_motor'!$B$607=0,"",SUMPRODUCT('_motor'!$B$586:$B$665*('_motor'!$E$586:$E$665&gt;'_motor'!$E$607))+(SUMPRODUCT('_motor'!$B$586:$B$665*('_motor'!$E$586:$E$665='_motor'!$E$607))+1)/2)</f>
        <v/>
      </c>
      <c r="E27" s="22">
        <f>IF('_motor'!$B$607=0,"",SUMPRODUCT('_motor'!$B$586:$B$665*('_motor'!$G$586:$G$665&gt;'_motor'!$G$607))+(SUMPRODUCT('_motor'!$B$586:$B$665*('_motor'!$G$586:$G$665='_motor'!$G$607))+1)/2)</f>
        <v/>
      </c>
      <c r="F27" s="22">
        <f>IF('_motor'!$B$607=0,"",SUMPRODUCT('_motor'!$B$586:$B$665*('_motor'!$I$586:$I$665&gt;'_motor'!$I$607))+(SUMPRODUCT('_motor'!$B$586:$B$665*('_motor'!$I$586:$I$665='_motor'!$I$607))+1)/2)</f>
        <v/>
      </c>
      <c r="G27" s="22">
        <f>IF('_motor'!$B$607=0,"",C27-D27)</f>
        <v/>
      </c>
      <c r="H27" s="22">
        <f>IF('_motor'!$B$607=0,"",C27-E27)</f>
        <v/>
      </c>
      <c r="I27" s="19">
        <f>IF('_motor'!$B$607=0,"",IF(AND(ABS('_motor'!$C$607-'_motor'!$B$668)&lt;='_motor'!$B$676+0.000000001,ABS('_motor'!$D$607-'_motor'!$B$668)&lt;='_motor'!$B$676+0.000000001),"5 · Pelotón (no concluyente)",IF(AND('_motor'!$C$607&gt;='_motor'!$B$668,'_motor'!$D$607&lt;'_motor'!$B$668),"1 · Entrada / determinante",IF(AND('_motor'!$C$607&gt;='_motor'!$B$668,'_motor'!$D$607&gt;='_motor'!$B$668),"2 · Intermedia / de enlace",IF(AND('_motor'!$C$607&lt;'_motor'!$B$668,'_motor'!$D$607&gt;='_motor'!$B$668),"3 · Resultado","4 · Excluida / autónoma")))))</f>
        <v/>
      </c>
      <c r="J27" s="19">
        <f>IF('_motor'!$B$607=0,"",IF(AND(ABS('_motor'!$I$607-'_motor'!$B$671)&lt;='_motor'!$B$679+0.000000001,ABS('_motor'!$J$607-'_motor'!$B$671)&lt;='_motor'!$B$679+0.000000001),"5 · Pelotón (no concluyente)",IF(AND('_motor'!$I$607&gt;='_motor'!$B$671,'_motor'!$J$607&lt;'_motor'!$B$671),"1 · Entrada / determinante",IF(AND('_motor'!$I$607&gt;='_motor'!$B$671,'_motor'!$J$607&gt;='_motor'!$B$671),"2 · Intermedia / de enlace",IF(AND('_motor'!$I$607&lt;'_motor'!$B$671,'_motor'!$J$607&gt;='_motor'!$B$671),"3 · Resultado","4 · Excluida / autónoma")))))</f>
        <v/>
      </c>
      <c r="K27" s="22">
        <f>IF('_motor'!$B$607=0,"",IF(LEFT(I27,1)=LEFT(J27,1),"No","SÍ"))</f>
        <v/>
      </c>
      <c r="L27" s="19">
        <f>IF('_motor'!$B$607=0,"",IF(AND(G27&gt;2,H27&gt;2),"Variable oculta y además latente: su peso real está muy infravalorado en la lectura directa. Prioridad máxima de seguimiento.",IF(G27&gt;2,"Variable oculta: gobierna el sistema a través de cadenas indirectas.",IF(H27&gt;2,"Variable latente: hoy es secundaria, pero ganará peso si las relaciones potenciales se materializan.",IF(AND(G27&lt;-2,H27&lt;-2),"Su importancia aparente en la lectura directa no se sostiene ni por vía indirecta ni potencial.","Comportamiento estable en las distintas clasificaciones.")))))</f>
        <v/>
      </c>
    </row>
    <row r="28" spans="1:12" x14ac:dyDescent="0.2">
      <c r="A28" s="21">
        <f>IF('_motor'!$B$608=0,"",'02 · Variables'!$B$29)</f>
        <v/>
      </c>
      <c r="B28" s="19">
        <f>IF('_motor'!$B$608=0,"",'02 · Variables'!$C$29)</f>
        <v/>
      </c>
      <c r="C28" s="22">
        <f>IF('_motor'!$B$608=0,"",SUMPRODUCT('_motor'!$B$586:$B$665*('_motor'!$C$586:$C$665&gt;'_motor'!$C$608))+(SUMPRODUCT('_motor'!$B$586:$B$665*('_motor'!$C$586:$C$665='_motor'!$C$608))+1)/2)</f>
        <v/>
      </c>
      <c r="D28" s="22">
        <f>IF('_motor'!$B$608=0,"",SUMPRODUCT('_motor'!$B$586:$B$665*('_motor'!$E$586:$E$665&gt;'_motor'!$E$608))+(SUMPRODUCT('_motor'!$B$586:$B$665*('_motor'!$E$586:$E$665='_motor'!$E$608))+1)/2)</f>
        <v/>
      </c>
      <c r="E28" s="22">
        <f>IF('_motor'!$B$608=0,"",SUMPRODUCT('_motor'!$B$586:$B$665*('_motor'!$G$586:$G$665&gt;'_motor'!$G$608))+(SUMPRODUCT('_motor'!$B$586:$B$665*('_motor'!$G$586:$G$665='_motor'!$G$608))+1)/2)</f>
        <v/>
      </c>
      <c r="F28" s="22">
        <f>IF('_motor'!$B$608=0,"",SUMPRODUCT('_motor'!$B$586:$B$665*('_motor'!$I$586:$I$665&gt;'_motor'!$I$608))+(SUMPRODUCT('_motor'!$B$586:$B$665*('_motor'!$I$586:$I$665='_motor'!$I$608))+1)/2)</f>
        <v/>
      </c>
      <c r="G28" s="22">
        <f>IF('_motor'!$B$608=0,"",C28-D28)</f>
        <v/>
      </c>
      <c r="H28" s="22">
        <f>IF('_motor'!$B$608=0,"",C28-E28)</f>
        <v/>
      </c>
      <c r="I28" s="19">
        <f>IF('_motor'!$B$608=0,"",IF(AND(ABS('_motor'!$C$608-'_motor'!$B$668)&lt;='_motor'!$B$676+0.000000001,ABS('_motor'!$D$608-'_motor'!$B$668)&lt;='_motor'!$B$676+0.000000001),"5 · Pelotón (no concluyente)",IF(AND('_motor'!$C$608&gt;='_motor'!$B$668,'_motor'!$D$608&lt;'_motor'!$B$668),"1 · Entrada / determinante",IF(AND('_motor'!$C$608&gt;='_motor'!$B$668,'_motor'!$D$608&gt;='_motor'!$B$668),"2 · Intermedia / de enlace",IF(AND('_motor'!$C$608&lt;'_motor'!$B$668,'_motor'!$D$608&gt;='_motor'!$B$668),"3 · Resultado","4 · Excluida / autónoma")))))</f>
        <v/>
      </c>
      <c r="J28" s="19">
        <f>IF('_motor'!$B$608=0,"",IF(AND(ABS('_motor'!$I$608-'_motor'!$B$671)&lt;='_motor'!$B$679+0.000000001,ABS('_motor'!$J$608-'_motor'!$B$671)&lt;='_motor'!$B$679+0.000000001),"5 · Pelotón (no concluyente)",IF(AND('_motor'!$I$608&gt;='_motor'!$B$671,'_motor'!$J$608&lt;'_motor'!$B$671),"1 · Entrada / determinante",IF(AND('_motor'!$I$608&gt;='_motor'!$B$671,'_motor'!$J$608&gt;='_motor'!$B$671),"2 · Intermedia / de enlace",IF(AND('_motor'!$I$608&lt;'_motor'!$B$671,'_motor'!$J$608&gt;='_motor'!$B$671),"3 · Resultado","4 · Excluida / autónoma")))))</f>
        <v/>
      </c>
      <c r="K28" s="22">
        <f>IF('_motor'!$B$608=0,"",IF(LEFT(I28,1)=LEFT(J28,1),"No","SÍ"))</f>
        <v/>
      </c>
      <c r="L28" s="19">
        <f>IF('_motor'!$B$608=0,"",IF(AND(G28&gt;2,H28&gt;2),"Variable oculta y además latente: su peso real está muy infravalorado en la lectura directa. Prioridad máxima de seguimiento.",IF(G28&gt;2,"Variable oculta: gobierna el sistema a través de cadenas indirectas.",IF(H28&gt;2,"Variable latente: hoy es secundaria, pero ganará peso si las relaciones potenciales se materializan.",IF(AND(G28&lt;-2,H28&lt;-2),"Su importancia aparente en la lectura directa no se sostiene ni por vía indirecta ni potencial.","Comportamiento estable en las distintas clasificaciones.")))))</f>
        <v/>
      </c>
    </row>
    <row r="29" spans="1:12" x14ac:dyDescent="0.2">
      <c r="A29" s="21">
        <f>IF('_motor'!$B$609=0,"",'02 · Variables'!$B$30)</f>
        <v/>
      </c>
      <c r="B29" s="19">
        <f>IF('_motor'!$B$609=0,"",'02 · Variables'!$C$30)</f>
        <v/>
      </c>
      <c r="C29" s="22">
        <f>IF('_motor'!$B$609=0,"",SUMPRODUCT('_motor'!$B$586:$B$665*('_motor'!$C$586:$C$665&gt;'_motor'!$C$609))+(SUMPRODUCT('_motor'!$B$586:$B$665*('_motor'!$C$586:$C$665='_motor'!$C$609))+1)/2)</f>
        <v/>
      </c>
      <c r="D29" s="22">
        <f>IF('_motor'!$B$609=0,"",SUMPRODUCT('_motor'!$B$586:$B$665*('_motor'!$E$586:$E$665&gt;'_motor'!$E$609))+(SUMPRODUCT('_motor'!$B$586:$B$665*('_motor'!$E$586:$E$665='_motor'!$E$609))+1)/2)</f>
        <v/>
      </c>
      <c r="E29" s="22">
        <f>IF('_motor'!$B$609=0,"",SUMPRODUCT('_motor'!$B$586:$B$665*('_motor'!$G$586:$G$665&gt;'_motor'!$G$609))+(SUMPRODUCT('_motor'!$B$586:$B$665*('_motor'!$G$586:$G$665='_motor'!$G$609))+1)/2)</f>
        <v/>
      </c>
      <c r="F29" s="22">
        <f>IF('_motor'!$B$609=0,"",SUMPRODUCT('_motor'!$B$586:$B$665*('_motor'!$I$586:$I$665&gt;'_motor'!$I$609))+(SUMPRODUCT('_motor'!$B$586:$B$665*('_motor'!$I$586:$I$665='_motor'!$I$609))+1)/2)</f>
        <v/>
      </c>
      <c r="G29" s="22">
        <f>IF('_motor'!$B$609=0,"",C29-D29)</f>
        <v/>
      </c>
      <c r="H29" s="22">
        <f>IF('_motor'!$B$609=0,"",C29-E29)</f>
        <v/>
      </c>
      <c r="I29" s="19">
        <f>IF('_motor'!$B$609=0,"",IF(AND(ABS('_motor'!$C$609-'_motor'!$B$668)&lt;='_motor'!$B$676+0.000000001,ABS('_motor'!$D$609-'_motor'!$B$668)&lt;='_motor'!$B$676+0.000000001),"5 · Pelotón (no concluyente)",IF(AND('_motor'!$C$609&gt;='_motor'!$B$668,'_motor'!$D$609&lt;'_motor'!$B$668),"1 · Entrada / determinante",IF(AND('_motor'!$C$609&gt;='_motor'!$B$668,'_motor'!$D$609&gt;='_motor'!$B$668),"2 · Intermedia / de enlace",IF(AND('_motor'!$C$609&lt;'_motor'!$B$668,'_motor'!$D$609&gt;='_motor'!$B$668),"3 · Resultado","4 · Excluida / autónoma")))))</f>
        <v/>
      </c>
      <c r="J29" s="19">
        <f>IF('_motor'!$B$609=0,"",IF(AND(ABS('_motor'!$I$609-'_motor'!$B$671)&lt;='_motor'!$B$679+0.000000001,ABS('_motor'!$J$609-'_motor'!$B$671)&lt;='_motor'!$B$679+0.000000001),"5 · Pelotón (no concluyente)",IF(AND('_motor'!$I$609&gt;='_motor'!$B$671,'_motor'!$J$609&lt;'_motor'!$B$671),"1 · Entrada / determinante",IF(AND('_motor'!$I$609&gt;='_motor'!$B$671,'_motor'!$J$609&gt;='_motor'!$B$671),"2 · Intermedia / de enlace",IF(AND('_motor'!$I$609&lt;'_motor'!$B$671,'_motor'!$J$609&gt;='_motor'!$B$671),"3 · Resultado","4 · Excluida / autónoma")))))</f>
        <v/>
      </c>
      <c r="K29" s="22">
        <f>IF('_motor'!$B$609=0,"",IF(LEFT(I29,1)=LEFT(J29,1),"No","SÍ"))</f>
        <v/>
      </c>
      <c r="L29" s="19">
        <f>IF('_motor'!$B$609=0,"",IF(AND(G29&gt;2,H29&gt;2),"Variable oculta y además latente: su peso real está muy infravalorado en la lectura directa. Prioridad máxima de seguimiento.",IF(G29&gt;2,"Variable oculta: gobierna el sistema a través de cadenas indirectas.",IF(H29&gt;2,"Variable latente: hoy es secundaria, pero ganará peso si las relaciones potenciales se materializan.",IF(AND(G29&lt;-2,H29&lt;-2),"Su importancia aparente en la lectura directa no se sostiene ni por vía indirecta ni potencial.","Comportamiento estable en las distintas clasificaciones.")))))</f>
        <v/>
      </c>
    </row>
    <row r="30" spans="1:12" x14ac:dyDescent="0.2">
      <c r="A30" s="21">
        <f>IF('_motor'!$B$610=0,"",'02 · Variables'!$B$31)</f>
        <v/>
      </c>
      <c r="B30" s="19">
        <f>IF('_motor'!$B$610=0,"",'02 · Variables'!$C$31)</f>
        <v/>
      </c>
      <c r="C30" s="22">
        <f>IF('_motor'!$B$610=0,"",SUMPRODUCT('_motor'!$B$586:$B$665*('_motor'!$C$586:$C$665&gt;'_motor'!$C$610))+(SUMPRODUCT('_motor'!$B$586:$B$665*('_motor'!$C$586:$C$665='_motor'!$C$610))+1)/2)</f>
        <v/>
      </c>
      <c r="D30" s="22">
        <f>IF('_motor'!$B$610=0,"",SUMPRODUCT('_motor'!$B$586:$B$665*('_motor'!$E$586:$E$665&gt;'_motor'!$E$610))+(SUMPRODUCT('_motor'!$B$586:$B$665*('_motor'!$E$586:$E$665='_motor'!$E$610))+1)/2)</f>
        <v/>
      </c>
      <c r="E30" s="22">
        <f>IF('_motor'!$B$610=0,"",SUMPRODUCT('_motor'!$B$586:$B$665*('_motor'!$G$586:$G$665&gt;'_motor'!$G$610))+(SUMPRODUCT('_motor'!$B$586:$B$665*('_motor'!$G$586:$G$665='_motor'!$G$610))+1)/2)</f>
        <v/>
      </c>
      <c r="F30" s="22">
        <f>IF('_motor'!$B$610=0,"",SUMPRODUCT('_motor'!$B$586:$B$665*('_motor'!$I$586:$I$665&gt;'_motor'!$I$610))+(SUMPRODUCT('_motor'!$B$586:$B$665*('_motor'!$I$586:$I$665='_motor'!$I$610))+1)/2)</f>
        <v/>
      </c>
      <c r="G30" s="22">
        <f>IF('_motor'!$B$610=0,"",C30-D30)</f>
        <v/>
      </c>
      <c r="H30" s="22">
        <f>IF('_motor'!$B$610=0,"",C30-E30)</f>
        <v/>
      </c>
      <c r="I30" s="19">
        <f>IF('_motor'!$B$610=0,"",IF(AND(ABS('_motor'!$C$610-'_motor'!$B$668)&lt;='_motor'!$B$676+0.000000001,ABS('_motor'!$D$610-'_motor'!$B$668)&lt;='_motor'!$B$676+0.000000001),"5 · Pelotón (no concluyente)",IF(AND('_motor'!$C$610&gt;='_motor'!$B$668,'_motor'!$D$610&lt;'_motor'!$B$668),"1 · Entrada / determinante",IF(AND('_motor'!$C$610&gt;='_motor'!$B$668,'_motor'!$D$610&gt;='_motor'!$B$668),"2 · Intermedia / de enlace",IF(AND('_motor'!$C$610&lt;'_motor'!$B$668,'_motor'!$D$610&gt;='_motor'!$B$668),"3 · Resultado","4 · Excluida / autónoma")))))</f>
        <v/>
      </c>
      <c r="J30" s="19">
        <f>IF('_motor'!$B$610=0,"",IF(AND(ABS('_motor'!$I$610-'_motor'!$B$671)&lt;='_motor'!$B$679+0.000000001,ABS('_motor'!$J$610-'_motor'!$B$671)&lt;='_motor'!$B$679+0.000000001),"5 · Pelotón (no concluyente)",IF(AND('_motor'!$I$610&gt;='_motor'!$B$671,'_motor'!$J$610&lt;'_motor'!$B$671),"1 · Entrada / determinante",IF(AND('_motor'!$I$610&gt;='_motor'!$B$671,'_motor'!$J$610&gt;='_motor'!$B$671),"2 · Intermedia / de enlace",IF(AND('_motor'!$I$610&lt;'_motor'!$B$671,'_motor'!$J$610&gt;='_motor'!$B$671),"3 · Resultado","4 · Excluida / autónoma")))))</f>
        <v/>
      </c>
      <c r="K30" s="22">
        <f>IF('_motor'!$B$610=0,"",IF(LEFT(I30,1)=LEFT(J30,1),"No","SÍ"))</f>
        <v/>
      </c>
      <c r="L30" s="19">
        <f>IF('_motor'!$B$610=0,"",IF(AND(G30&gt;2,H30&gt;2),"Variable oculta y además latente: su peso real está muy infravalorado en la lectura directa. Prioridad máxima de seguimiento.",IF(G30&gt;2,"Variable oculta: gobierna el sistema a través de cadenas indirectas.",IF(H30&gt;2,"Variable latente: hoy es secundaria, pero ganará peso si las relaciones potenciales se materializan.",IF(AND(G30&lt;-2,H30&lt;-2),"Su importancia aparente en la lectura directa no se sostiene ni por vía indirecta ni potencial.","Comportamiento estable en las distintas clasificaciones.")))))</f>
        <v/>
      </c>
    </row>
    <row r="31" spans="1:12" x14ac:dyDescent="0.2">
      <c r="A31" s="21">
        <f>IF('_motor'!$B$611=0,"",'02 · Variables'!$B$32)</f>
        <v/>
      </c>
      <c r="B31" s="19">
        <f>IF('_motor'!$B$611=0,"",'02 · Variables'!$C$32)</f>
        <v/>
      </c>
      <c r="C31" s="22">
        <f>IF('_motor'!$B$611=0,"",SUMPRODUCT('_motor'!$B$586:$B$665*('_motor'!$C$586:$C$665&gt;'_motor'!$C$611))+(SUMPRODUCT('_motor'!$B$586:$B$665*('_motor'!$C$586:$C$665='_motor'!$C$611))+1)/2)</f>
        <v/>
      </c>
      <c r="D31" s="22">
        <f>IF('_motor'!$B$611=0,"",SUMPRODUCT('_motor'!$B$586:$B$665*('_motor'!$E$586:$E$665&gt;'_motor'!$E$611))+(SUMPRODUCT('_motor'!$B$586:$B$665*('_motor'!$E$586:$E$665='_motor'!$E$611))+1)/2)</f>
        <v/>
      </c>
      <c r="E31" s="22">
        <f>IF('_motor'!$B$611=0,"",SUMPRODUCT('_motor'!$B$586:$B$665*('_motor'!$G$586:$G$665&gt;'_motor'!$G$611))+(SUMPRODUCT('_motor'!$B$586:$B$665*('_motor'!$G$586:$G$665='_motor'!$G$611))+1)/2)</f>
        <v/>
      </c>
      <c r="F31" s="22">
        <f>IF('_motor'!$B$611=0,"",SUMPRODUCT('_motor'!$B$586:$B$665*('_motor'!$I$586:$I$665&gt;'_motor'!$I$611))+(SUMPRODUCT('_motor'!$B$586:$B$665*('_motor'!$I$586:$I$665='_motor'!$I$611))+1)/2)</f>
        <v/>
      </c>
      <c r="G31" s="22">
        <f>IF('_motor'!$B$611=0,"",C31-D31)</f>
        <v/>
      </c>
      <c r="H31" s="22">
        <f>IF('_motor'!$B$611=0,"",C31-E31)</f>
        <v/>
      </c>
      <c r="I31" s="19">
        <f>IF('_motor'!$B$611=0,"",IF(AND(ABS('_motor'!$C$611-'_motor'!$B$668)&lt;='_motor'!$B$676+0.000000001,ABS('_motor'!$D$611-'_motor'!$B$668)&lt;='_motor'!$B$676+0.000000001),"5 · Pelotón (no concluyente)",IF(AND('_motor'!$C$611&gt;='_motor'!$B$668,'_motor'!$D$611&lt;'_motor'!$B$668),"1 · Entrada / determinante",IF(AND('_motor'!$C$611&gt;='_motor'!$B$668,'_motor'!$D$611&gt;='_motor'!$B$668),"2 · Intermedia / de enlace",IF(AND('_motor'!$C$611&lt;'_motor'!$B$668,'_motor'!$D$611&gt;='_motor'!$B$668),"3 · Resultado","4 · Excluida / autónoma")))))</f>
        <v/>
      </c>
      <c r="J31" s="19">
        <f>IF('_motor'!$B$611=0,"",IF(AND(ABS('_motor'!$I$611-'_motor'!$B$671)&lt;='_motor'!$B$679+0.000000001,ABS('_motor'!$J$611-'_motor'!$B$671)&lt;='_motor'!$B$679+0.000000001),"5 · Pelotón (no concluyente)",IF(AND('_motor'!$I$611&gt;='_motor'!$B$671,'_motor'!$J$611&lt;'_motor'!$B$671),"1 · Entrada / determinante",IF(AND('_motor'!$I$611&gt;='_motor'!$B$671,'_motor'!$J$611&gt;='_motor'!$B$671),"2 · Intermedia / de enlace",IF(AND('_motor'!$I$611&lt;'_motor'!$B$671,'_motor'!$J$611&gt;='_motor'!$B$671),"3 · Resultado","4 · Excluida / autónoma")))))</f>
        <v/>
      </c>
      <c r="K31" s="22">
        <f>IF('_motor'!$B$611=0,"",IF(LEFT(I31,1)=LEFT(J31,1),"No","SÍ"))</f>
        <v/>
      </c>
      <c r="L31" s="19">
        <f>IF('_motor'!$B$611=0,"",IF(AND(G31&gt;2,H31&gt;2),"Variable oculta y además latente: su peso real está muy infravalorado en la lectura directa. Prioridad máxima de seguimiento.",IF(G31&gt;2,"Variable oculta: gobierna el sistema a través de cadenas indirectas.",IF(H31&gt;2,"Variable latente: hoy es secundaria, pero ganará peso si las relaciones potenciales se materializan.",IF(AND(G31&lt;-2,H31&lt;-2),"Su importancia aparente en la lectura directa no se sostiene ni por vía indirecta ni potencial.","Comportamiento estable en las distintas clasificaciones.")))))</f>
        <v/>
      </c>
    </row>
    <row r="32" spans="1:12" x14ac:dyDescent="0.2">
      <c r="A32" s="21">
        <f>IF('_motor'!$B$612=0,"",'02 · Variables'!$B$33)</f>
        <v/>
      </c>
      <c r="B32" s="19">
        <f>IF('_motor'!$B$612=0,"",'02 · Variables'!$C$33)</f>
        <v/>
      </c>
      <c r="C32" s="22">
        <f>IF('_motor'!$B$612=0,"",SUMPRODUCT('_motor'!$B$586:$B$665*('_motor'!$C$586:$C$665&gt;'_motor'!$C$612))+(SUMPRODUCT('_motor'!$B$586:$B$665*('_motor'!$C$586:$C$665='_motor'!$C$612))+1)/2)</f>
        <v/>
      </c>
      <c r="D32" s="22">
        <f>IF('_motor'!$B$612=0,"",SUMPRODUCT('_motor'!$B$586:$B$665*('_motor'!$E$586:$E$665&gt;'_motor'!$E$612))+(SUMPRODUCT('_motor'!$B$586:$B$665*('_motor'!$E$586:$E$665='_motor'!$E$612))+1)/2)</f>
        <v/>
      </c>
      <c r="E32" s="22">
        <f>IF('_motor'!$B$612=0,"",SUMPRODUCT('_motor'!$B$586:$B$665*('_motor'!$G$586:$G$665&gt;'_motor'!$G$612))+(SUMPRODUCT('_motor'!$B$586:$B$665*('_motor'!$G$586:$G$665='_motor'!$G$612))+1)/2)</f>
        <v/>
      </c>
      <c r="F32" s="22">
        <f>IF('_motor'!$B$612=0,"",SUMPRODUCT('_motor'!$B$586:$B$665*('_motor'!$I$586:$I$665&gt;'_motor'!$I$612))+(SUMPRODUCT('_motor'!$B$586:$B$665*('_motor'!$I$586:$I$665='_motor'!$I$612))+1)/2)</f>
        <v/>
      </c>
      <c r="G32" s="22">
        <f>IF('_motor'!$B$612=0,"",C32-D32)</f>
        <v/>
      </c>
      <c r="H32" s="22">
        <f>IF('_motor'!$B$612=0,"",C32-E32)</f>
        <v/>
      </c>
      <c r="I32" s="19">
        <f>IF('_motor'!$B$612=0,"",IF(AND(ABS('_motor'!$C$612-'_motor'!$B$668)&lt;='_motor'!$B$676+0.000000001,ABS('_motor'!$D$612-'_motor'!$B$668)&lt;='_motor'!$B$676+0.000000001),"5 · Pelotón (no concluyente)",IF(AND('_motor'!$C$612&gt;='_motor'!$B$668,'_motor'!$D$612&lt;'_motor'!$B$668),"1 · Entrada / determinante",IF(AND('_motor'!$C$612&gt;='_motor'!$B$668,'_motor'!$D$612&gt;='_motor'!$B$668),"2 · Intermedia / de enlace",IF(AND('_motor'!$C$612&lt;'_motor'!$B$668,'_motor'!$D$612&gt;='_motor'!$B$668),"3 · Resultado","4 · Excluida / autónoma")))))</f>
        <v/>
      </c>
      <c r="J32" s="19">
        <f>IF('_motor'!$B$612=0,"",IF(AND(ABS('_motor'!$I$612-'_motor'!$B$671)&lt;='_motor'!$B$679+0.000000001,ABS('_motor'!$J$612-'_motor'!$B$671)&lt;='_motor'!$B$679+0.000000001),"5 · Pelotón (no concluyente)",IF(AND('_motor'!$I$612&gt;='_motor'!$B$671,'_motor'!$J$612&lt;'_motor'!$B$671),"1 · Entrada / determinante",IF(AND('_motor'!$I$612&gt;='_motor'!$B$671,'_motor'!$J$612&gt;='_motor'!$B$671),"2 · Intermedia / de enlace",IF(AND('_motor'!$I$612&lt;'_motor'!$B$671,'_motor'!$J$612&gt;='_motor'!$B$671),"3 · Resultado","4 · Excluida / autónoma")))))</f>
        <v/>
      </c>
      <c r="K32" s="22">
        <f>IF('_motor'!$B$612=0,"",IF(LEFT(I32,1)=LEFT(J32,1),"No","SÍ"))</f>
        <v/>
      </c>
      <c r="L32" s="19">
        <f>IF('_motor'!$B$612=0,"",IF(AND(G32&gt;2,H32&gt;2),"Variable oculta y además latente: su peso real está muy infravalorado en la lectura directa. Prioridad máxima de seguimiento.",IF(G32&gt;2,"Variable oculta: gobierna el sistema a través de cadenas indirectas.",IF(H32&gt;2,"Variable latente: hoy es secundaria, pero ganará peso si las relaciones potenciales se materializan.",IF(AND(G32&lt;-2,H32&lt;-2),"Su importancia aparente en la lectura directa no se sostiene ni por vía indirecta ni potencial.","Comportamiento estable en las distintas clasificaciones.")))))</f>
        <v/>
      </c>
    </row>
    <row r="33" spans="1:12" x14ac:dyDescent="0.2">
      <c r="A33" s="21">
        <f>IF('_motor'!$B$613=0,"",'02 · Variables'!$B$34)</f>
        <v/>
      </c>
      <c r="B33" s="19">
        <f>IF('_motor'!$B$613=0,"",'02 · Variables'!$C$34)</f>
        <v/>
      </c>
      <c r="C33" s="22">
        <f>IF('_motor'!$B$613=0,"",SUMPRODUCT('_motor'!$B$586:$B$665*('_motor'!$C$586:$C$665&gt;'_motor'!$C$613))+(SUMPRODUCT('_motor'!$B$586:$B$665*('_motor'!$C$586:$C$665='_motor'!$C$613))+1)/2)</f>
        <v/>
      </c>
      <c r="D33" s="22">
        <f>IF('_motor'!$B$613=0,"",SUMPRODUCT('_motor'!$B$586:$B$665*('_motor'!$E$586:$E$665&gt;'_motor'!$E$613))+(SUMPRODUCT('_motor'!$B$586:$B$665*('_motor'!$E$586:$E$665='_motor'!$E$613))+1)/2)</f>
        <v/>
      </c>
      <c r="E33" s="22">
        <f>IF('_motor'!$B$613=0,"",SUMPRODUCT('_motor'!$B$586:$B$665*('_motor'!$G$586:$G$665&gt;'_motor'!$G$613))+(SUMPRODUCT('_motor'!$B$586:$B$665*('_motor'!$G$586:$G$665='_motor'!$G$613))+1)/2)</f>
        <v/>
      </c>
      <c r="F33" s="22">
        <f>IF('_motor'!$B$613=0,"",SUMPRODUCT('_motor'!$B$586:$B$665*('_motor'!$I$586:$I$665&gt;'_motor'!$I$613))+(SUMPRODUCT('_motor'!$B$586:$B$665*('_motor'!$I$586:$I$665='_motor'!$I$613))+1)/2)</f>
        <v/>
      </c>
      <c r="G33" s="22">
        <f>IF('_motor'!$B$613=0,"",C33-D33)</f>
        <v/>
      </c>
      <c r="H33" s="22">
        <f>IF('_motor'!$B$613=0,"",C33-E33)</f>
        <v/>
      </c>
      <c r="I33" s="19">
        <f>IF('_motor'!$B$613=0,"",IF(AND(ABS('_motor'!$C$613-'_motor'!$B$668)&lt;='_motor'!$B$676+0.000000001,ABS('_motor'!$D$613-'_motor'!$B$668)&lt;='_motor'!$B$676+0.000000001),"5 · Pelotón (no concluyente)",IF(AND('_motor'!$C$613&gt;='_motor'!$B$668,'_motor'!$D$613&lt;'_motor'!$B$668),"1 · Entrada / determinante",IF(AND('_motor'!$C$613&gt;='_motor'!$B$668,'_motor'!$D$613&gt;='_motor'!$B$668),"2 · Intermedia / de enlace",IF(AND('_motor'!$C$613&lt;'_motor'!$B$668,'_motor'!$D$613&gt;='_motor'!$B$668),"3 · Resultado","4 · Excluida / autónoma")))))</f>
        <v/>
      </c>
      <c r="J33" s="19">
        <f>IF('_motor'!$B$613=0,"",IF(AND(ABS('_motor'!$I$613-'_motor'!$B$671)&lt;='_motor'!$B$679+0.000000001,ABS('_motor'!$J$613-'_motor'!$B$671)&lt;='_motor'!$B$679+0.000000001),"5 · Pelotón (no concluyente)",IF(AND('_motor'!$I$613&gt;='_motor'!$B$671,'_motor'!$J$613&lt;'_motor'!$B$671),"1 · Entrada / determinante",IF(AND('_motor'!$I$613&gt;='_motor'!$B$671,'_motor'!$J$613&gt;='_motor'!$B$671),"2 · Intermedia / de enlace",IF(AND('_motor'!$I$613&lt;'_motor'!$B$671,'_motor'!$J$613&gt;='_motor'!$B$671),"3 · Resultado","4 · Excluida / autónoma")))))</f>
        <v/>
      </c>
      <c r="K33" s="22">
        <f>IF('_motor'!$B$613=0,"",IF(LEFT(I33,1)=LEFT(J33,1),"No","SÍ"))</f>
        <v/>
      </c>
      <c r="L33" s="19">
        <f>IF('_motor'!$B$613=0,"",IF(AND(G33&gt;2,H33&gt;2),"Variable oculta y además latente: su peso real está muy infravalorado en la lectura directa. Prioridad máxima de seguimiento.",IF(G33&gt;2,"Variable oculta: gobierna el sistema a través de cadenas indirectas.",IF(H33&gt;2,"Variable latente: hoy es secundaria, pero ganará peso si las relaciones potenciales se materializan.",IF(AND(G33&lt;-2,H33&lt;-2),"Su importancia aparente en la lectura directa no se sostiene ni por vía indirecta ni potencial.","Comportamiento estable en las distintas clasificaciones.")))))</f>
        <v/>
      </c>
    </row>
    <row r="34" spans="1:12" x14ac:dyDescent="0.2">
      <c r="A34" s="21">
        <f>IF('_motor'!$B$614=0,"",'02 · Variables'!$B$35)</f>
        <v/>
      </c>
      <c r="B34" s="19">
        <f>IF('_motor'!$B$614=0,"",'02 · Variables'!$C$35)</f>
        <v/>
      </c>
      <c r="C34" s="22">
        <f>IF('_motor'!$B$614=0,"",SUMPRODUCT('_motor'!$B$586:$B$665*('_motor'!$C$586:$C$665&gt;'_motor'!$C$614))+(SUMPRODUCT('_motor'!$B$586:$B$665*('_motor'!$C$586:$C$665='_motor'!$C$614))+1)/2)</f>
        <v/>
      </c>
      <c r="D34" s="22">
        <f>IF('_motor'!$B$614=0,"",SUMPRODUCT('_motor'!$B$586:$B$665*('_motor'!$E$586:$E$665&gt;'_motor'!$E$614))+(SUMPRODUCT('_motor'!$B$586:$B$665*('_motor'!$E$586:$E$665='_motor'!$E$614))+1)/2)</f>
        <v/>
      </c>
      <c r="E34" s="22">
        <f>IF('_motor'!$B$614=0,"",SUMPRODUCT('_motor'!$B$586:$B$665*('_motor'!$G$586:$G$665&gt;'_motor'!$G$614))+(SUMPRODUCT('_motor'!$B$586:$B$665*('_motor'!$G$586:$G$665='_motor'!$G$614))+1)/2)</f>
        <v/>
      </c>
      <c r="F34" s="22">
        <f>IF('_motor'!$B$614=0,"",SUMPRODUCT('_motor'!$B$586:$B$665*('_motor'!$I$586:$I$665&gt;'_motor'!$I$614))+(SUMPRODUCT('_motor'!$B$586:$B$665*('_motor'!$I$586:$I$665='_motor'!$I$614))+1)/2)</f>
        <v/>
      </c>
      <c r="G34" s="22">
        <f>IF('_motor'!$B$614=0,"",C34-D34)</f>
        <v/>
      </c>
      <c r="H34" s="22">
        <f>IF('_motor'!$B$614=0,"",C34-E34)</f>
        <v/>
      </c>
      <c r="I34" s="19">
        <f>IF('_motor'!$B$614=0,"",IF(AND(ABS('_motor'!$C$614-'_motor'!$B$668)&lt;='_motor'!$B$676+0.000000001,ABS('_motor'!$D$614-'_motor'!$B$668)&lt;='_motor'!$B$676+0.000000001),"5 · Pelotón (no concluyente)",IF(AND('_motor'!$C$614&gt;='_motor'!$B$668,'_motor'!$D$614&lt;'_motor'!$B$668),"1 · Entrada / determinante",IF(AND('_motor'!$C$614&gt;='_motor'!$B$668,'_motor'!$D$614&gt;='_motor'!$B$668),"2 · Intermedia / de enlace",IF(AND('_motor'!$C$614&lt;'_motor'!$B$668,'_motor'!$D$614&gt;='_motor'!$B$668),"3 · Resultado","4 · Excluida / autónoma")))))</f>
        <v/>
      </c>
      <c r="J34" s="19">
        <f>IF('_motor'!$B$614=0,"",IF(AND(ABS('_motor'!$I$614-'_motor'!$B$671)&lt;='_motor'!$B$679+0.000000001,ABS('_motor'!$J$614-'_motor'!$B$671)&lt;='_motor'!$B$679+0.000000001),"5 · Pelotón (no concluyente)",IF(AND('_motor'!$I$614&gt;='_motor'!$B$671,'_motor'!$J$614&lt;'_motor'!$B$671),"1 · Entrada / determinante",IF(AND('_motor'!$I$614&gt;='_motor'!$B$671,'_motor'!$J$614&gt;='_motor'!$B$671),"2 · Intermedia / de enlace",IF(AND('_motor'!$I$614&lt;'_motor'!$B$671,'_motor'!$J$614&gt;='_motor'!$B$671),"3 · Resultado","4 · Excluida / autónoma")))))</f>
        <v/>
      </c>
      <c r="K34" s="22">
        <f>IF('_motor'!$B$614=0,"",IF(LEFT(I34,1)=LEFT(J34,1),"No","SÍ"))</f>
        <v/>
      </c>
      <c r="L34" s="19">
        <f>IF('_motor'!$B$614=0,"",IF(AND(G34&gt;2,H34&gt;2),"Variable oculta y además latente: su peso real está muy infravalorado en la lectura directa. Prioridad máxima de seguimiento.",IF(G34&gt;2,"Variable oculta: gobierna el sistema a través de cadenas indirectas.",IF(H34&gt;2,"Variable latente: hoy es secundaria, pero ganará peso si las relaciones potenciales se materializan.",IF(AND(G34&lt;-2,H34&lt;-2),"Su importancia aparente en la lectura directa no se sostiene ni por vía indirecta ni potencial.","Comportamiento estable en las distintas clasificaciones.")))))</f>
        <v/>
      </c>
    </row>
    <row r="35" spans="1:12" x14ac:dyDescent="0.2">
      <c r="A35" s="21">
        <f>IF('_motor'!$B$615=0,"",'02 · Variables'!$B$36)</f>
        <v/>
      </c>
      <c r="B35" s="19">
        <f>IF('_motor'!$B$615=0,"",'02 · Variables'!$C$36)</f>
        <v/>
      </c>
      <c r="C35" s="22">
        <f>IF('_motor'!$B$615=0,"",SUMPRODUCT('_motor'!$B$586:$B$665*('_motor'!$C$586:$C$665&gt;'_motor'!$C$615))+(SUMPRODUCT('_motor'!$B$586:$B$665*('_motor'!$C$586:$C$665='_motor'!$C$615))+1)/2)</f>
        <v/>
      </c>
      <c r="D35" s="22">
        <f>IF('_motor'!$B$615=0,"",SUMPRODUCT('_motor'!$B$586:$B$665*('_motor'!$E$586:$E$665&gt;'_motor'!$E$615))+(SUMPRODUCT('_motor'!$B$586:$B$665*('_motor'!$E$586:$E$665='_motor'!$E$615))+1)/2)</f>
        <v/>
      </c>
      <c r="E35" s="22">
        <f>IF('_motor'!$B$615=0,"",SUMPRODUCT('_motor'!$B$586:$B$665*('_motor'!$G$586:$G$665&gt;'_motor'!$G$615))+(SUMPRODUCT('_motor'!$B$586:$B$665*('_motor'!$G$586:$G$665='_motor'!$G$615))+1)/2)</f>
        <v/>
      </c>
      <c r="F35" s="22">
        <f>IF('_motor'!$B$615=0,"",SUMPRODUCT('_motor'!$B$586:$B$665*('_motor'!$I$586:$I$665&gt;'_motor'!$I$615))+(SUMPRODUCT('_motor'!$B$586:$B$665*('_motor'!$I$586:$I$665='_motor'!$I$615))+1)/2)</f>
        <v/>
      </c>
      <c r="G35" s="22">
        <f>IF('_motor'!$B$615=0,"",C35-D35)</f>
        <v/>
      </c>
      <c r="H35" s="22">
        <f>IF('_motor'!$B$615=0,"",C35-E35)</f>
        <v/>
      </c>
      <c r="I35" s="19">
        <f>IF('_motor'!$B$615=0,"",IF(AND(ABS('_motor'!$C$615-'_motor'!$B$668)&lt;='_motor'!$B$676+0.000000001,ABS('_motor'!$D$615-'_motor'!$B$668)&lt;='_motor'!$B$676+0.000000001),"5 · Pelotón (no concluyente)",IF(AND('_motor'!$C$615&gt;='_motor'!$B$668,'_motor'!$D$615&lt;'_motor'!$B$668),"1 · Entrada / determinante",IF(AND('_motor'!$C$615&gt;='_motor'!$B$668,'_motor'!$D$615&gt;='_motor'!$B$668),"2 · Intermedia / de enlace",IF(AND('_motor'!$C$615&lt;'_motor'!$B$668,'_motor'!$D$615&gt;='_motor'!$B$668),"3 · Resultado","4 · Excluida / autónoma")))))</f>
        <v/>
      </c>
      <c r="J35" s="19">
        <f>IF('_motor'!$B$615=0,"",IF(AND(ABS('_motor'!$I$615-'_motor'!$B$671)&lt;='_motor'!$B$679+0.000000001,ABS('_motor'!$J$615-'_motor'!$B$671)&lt;='_motor'!$B$679+0.000000001),"5 · Pelotón (no concluyente)",IF(AND('_motor'!$I$615&gt;='_motor'!$B$671,'_motor'!$J$615&lt;'_motor'!$B$671),"1 · Entrada / determinante",IF(AND('_motor'!$I$615&gt;='_motor'!$B$671,'_motor'!$J$615&gt;='_motor'!$B$671),"2 · Intermedia / de enlace",IF(AND('_motor'!$I$615&lt;'_motor'!$B$671,'_motor'!$J$615&gt;='_motor'!$B$671),"3 · Resultado","4 · Excluida / autónoma")))))</f>
        <v/>
      </c>
      <c r="K35" s="22">
        <f>IF('_motor'!$B$615=0,"",IF(LEFT(I35,1)=LEFT(J35,1),"No","SÍ"))</f>
        <v/>
      </c>
      <c r="L35" s="19">
        <f>IF('_motor'!$B$615=0,"",IF(AND(G35&gt;2,H35&gt;2),"Variable oculta y además latente: su peso real está muy infravalorado en la lectura directa. Prioridad máxima de seguimiento.",IF(G35&gt;2,"Variable oculta: gobierna el sistema a través de cadenas indirectas.",IF(H35&gt;2,"Variable latente: hoy es secundaria, pero ganará peso si las relaciones potenciales se materializan.",IF(AND(G35&lt;-2,H35&lt;-2),"Su importancia aparente en la lectura directa no se sostiene ni por vía indirecta ni potencial.","Comportamiento estable en las distintas clasificaciones.")))))</f>
        <v/>
      </c>
    </row>
    <row r="36" spans="1:12" x14ac:dyDescent="0.2">
      <c r="A36" s="21">
        <f>IF('_motor'!$B$616=0,"",'02 · Variables'!$B$37)</f>
        <v/>
      </c>
      <c r="B36" s="19">
        <f>IF('_motor'!$B$616=0,"",'02 · Variables'!$C$37)</f>
        <v/>
      </c>
      <c r="C36" s="22">
        <f>IF('_motor'!$B$616=0,"",SUMPRODUCT('_motor'!$B$586:$B$665*('_motor'!$C$586:$C$665&gt;'_motor'!$C$616))+(SUMPRODUCT('_motor'!$B$586:$B$665*('_motor'!$C$586:$C$665='_motor'!$C$616))+1)/2)</f>
        <v/>
      </c>
      <c r="D36" s="22">
        <f>IF('_motor'!$B$616=0,"",SUMPRODUCT('_motor'!$B$586:$B$665*('_motor'!$E$586:$E$665&gt;'_motor'!$E$616))+(SUMPRODUCT('_motor'!$B$586:$B$665*('_motor'!$E$586:$E$665='_motor'!$E$616))+1)/2)</f>
        <v/>
      </c>
      <c r="E36" s="22">
        <f>IF('_motor'!$B$616=0,"",SUMPRODUCT('_motor'!$B$586:$B$665*('_motor'!$G$586:$G$665&gt;'_motor'!$G$616))+(SUMPRODUCT('_motor'!$B$586:$B$665*('_motor'!$G$586:$G$665='_motor'!$G$616))+1)/2)</f>
        <v/>
      </c>
      <c r="F36" s="22">
        <f>IF('_motor'!$B$616=0,"",SUMPRODUCT('_motor'!$B$586:$B$665*('_motor'!$I$586:$I$665&gt;'_motor'!$I$616))+(SUMPRODUCT('_motor'!$B$586:$B$665*('_motor'!$I$586:$I$665='_motor'!$I$616))+1)/2)</f>
        <v/>
      </c>
      <c r="G36" s="22">
        <f>IF('_motor'!$B$616=0,"",C36-D36)</f>
        <v/>
      </c>
      <c r="H36" s="22">
        <f>IF('_motor'!$B$616=0,"",C36-E36)</f>
        <v/>
      </c>
      <c r="I36" s="19">
        <f>IF('_motor'!$B$616=0,"",IF(AND(ABS('_motor'!$C$616-'_motor'!$B$668)&lt;='_motor'!$B$676+0.000000001,ABS('_motor'!$D$616-'_motor'!$B$668)&lt;='_motor'!$B$676+0.000000001),"5 · Pelotón (no concluyente)",IF(AND('_motor'!$C$616&gt;='_motor'!$B$668,'_motor'!$D$616&lt;'_motor'!$B$668),"1 · Entrada / determinante",IF(AND('_motor'!$C$616&gt;='_motor'!$B$668,'_motor'!$D$616&gt;='_motor'!$B$668),"2 · Intermedia / de enlace",IF(AND('_motor'!$C$616&lt;'_motor'!$B$668,'_motor'!$D$616&gt;='_motor'!$B$668),"3 · Resultado","4 · Excluida / autónoma")))))</f>
        <v/>
      </c>
      <c r="J36" s="19">
        <f>IF('_motor'!$B$616=0,"",IF(AND(ABS('_motor'!$I$616-'_motor'!$B$671)&lt;='_motor'!$B$679+0.000000001,ABS('_motor'!$J$616-'_motor'!$B$671)&lt;='_motor'!$B$679+0.000000001),"5 · Pelotón (no concluyente)",IF(AND('_motor'!$I$616&gt;='_motor'!$B$671,'_motor'!$J$616&lt;'_motor'!$B$671),"1 · Entrada / determinante",IF(AND('_motor'!$I$616&gt;='_motor'!$B$671,'_motor'!$J$616&gt;='_motor'!$B$671),"2 · Intermedia / de enlace",IF(AND('_motor'!$I$616&lt;'_motor'!$B$671,'_motor'!$J$616&gt;='_motor'!$B$671),"3 · Resultado","4 · Excluida / autónoma")))))</f>
        <v/>
      </c>
      <c r="K36" s="22">
        <f>IF('_motor'!$B$616=0,"",IF(LEFT(I36,1)=LEFT(J36,1),"No","SÍ"))</f>
        <v/>
      </c>
      <c r="L36" s="19">
        <f>IF('_motor'!$B$616=0,"",IF(AND(G36&gt;2,H36&gt;2),"Variable oculta y además latente: su peso real está muy infravalorado en la lectura directa. Prioridad máxima de seguimiento.",IF(G36&gt;2,"Variable oculta: gobierna el sistema a través de cadenas indirectas.",IF(H36&gt;2,"Variable latente: hoy es secundaria, pero ganará peso si las relaciones potenciales se materializan.",IF(AND(G36&lt;-2,H36&lt;-2),"Su importancia aparente en la lectura directa no se sostiene ni por vía indirecta ni potencial.","Comportamiento estable en las distintas clasificaciones.")))))</f>
        <v/>
      </c>
    </row>
    <row r="37" spans="1:12" x14ac:dyDescent="0.2">
      <c r="A37" s="21">
        <f>IF('_motor'!$B$617=0,"",'02 · Variables'!$B$38)</f>
        <v/>
      </c>
      <c r="B37" s="19">
        <f>IF('_motor'!$B$617=0,"",'02 · Variables'!$C$38)</f>
        <v/>
      </c>
      <c r="C37" s="22">
        <f>IF('_motor'!$B$617=0,"",SUMPRODUCT('_motor'!$B$586:$B$665*('_motor'!$C$586:$C$665&gt;'_motor'!$C$617))+(SUMPRODUCT('_motor'!$B$586:$B$665*('_motor'!$C$586:$C$665='_motor'!$C$617))+1)/2)</f>
        <v/>
      </c>
      <c r="D37" s="22">
        <f>IF('_motor'!$B$617=0,"",SUMPRODUCT('_motor'!$B$586:$B$665*('_motor'!$E$586:$E$665&gt;'_motor'!$E$617))+(SUMPRODUCT('_motor'!$B$586:$B$665*('_motor'!$E$586:$E$665='_motor'!$E$617))+1)/2)</f>
        <v/>
      </c>
      <c r="E37" s="22">
        <f>IF('_motor'!$B$617=0,"",SUMPRODUCT('_motor'!$B$586:$B$665*('_motor'!$G$586:$G$665&gt;'_motor'!$G$617))+(SUMPRODUCT('_motor'!$B$586:$B$665*('_motor'!$G$586:$G$665='_motor'!$G$617))+1)/2)</f>
        <v/>
      </c>
      <c r="F37" s="22">
        <f>IF('_motor'!$B$617=0,"",SUMPRODUCT('_motor'!$B$586:$B$665*('_motor'!$I$586:$I$665&gt;'_motor'!$I$617))+(SUMPRODUCT('_motor'!$B$586:$B$665*('_motor'!$I$586:$I$665='_motor'!$I$617))+1)/2)</f>
        <v/>
      </c>
      <c r="G37" s="22">
        <f>IF('_motor'!$B$617=0,"",C37-D37)</f>
        <v/>
      </c>
      <c r="H37" s="22">
        <f>IF('_motor'!$B$617=0,"",C37-E37)</f>
        <v/>
      </c>
      <c r="I37" s="19">
        <f>IF('_motor'!$B$617=0,"",IF(AND(ABS('_motor'!$C$617-'_motor'!$B$668)&lt;='_motor'!$B$676+0.000000001,ABS('_motor'!$D$617-'_motor'!$B$668)&lt;='_motor'!$B$676+0.000000001),"5 · Pelotón (no concluyente)",IF(AND('_motor'!$C$617&gt;='_motor'!$B$668,'_motor'!$D$617&lt;'_motor'!$B$668),"1 · Entrada / determinante",IF(AND('_motor'!$C$617&gt;='_motor'!$B$668,'_motor'!$D$617&gt;='_motor'!$B$668),"2 · Intermedia / de enlace",IF(AND('_motor'!$C$617&lt;'_motor'!$B$668,'_motor'!$D$617&gt;='_motor'!$B$668),"3 · Resultado","4 · Excluida / autónoma")))))</f>
        <v/>
      </c>
      <c r="J37" s="19">
        <f>IF('_motor'!$B$617=0,"",IF(AND(ABS('_motor'!$I$617-'_motor'!$B$671)&lt;='_motor'!$B$679+0.000000001,ABS('_motor'!$J$617-'_motor'!$B$671)&lt;='_motor'!$B$679+0.000000001),"5 · Pelotón (no concluyente)",IF(AND('_motor'!$I$617&gt;='_motor'!$B$671,'_motor'!$J$617&lt;'_motor'!$B$671),"1 · Entrada / determinante",IF(AND('_motor'!$I$617&gt;='_motor'!$B$671,'_motor'!$J$617&gt;='_motor'!$B$671),"2 · Intermedia / de enlace",IF(AND('_motor'!$I$617&lt;'_motor'!$B$671,'_motor'!$J$617&gt;='_motor'!$B$671),"3 · Resultado","4 · Excluida / autónoma")))))</f>
        <v/>
      </c>
      <c r="K37" s="22">
        <f>IF('_motor'!$B$617=0,"",IF(LEFT(I37,1)=LEFT(J37,1),"No","SÍ"))</f>
        <v/>
      </c>
      <c r="L37" s="19">
        <f>IF('_motor'!$B$617=0,"",IF(AND(G37&gt;2,H37&gt;2),"Variable oculta y además latente: su peso real está muy infravalorado en la lectura directa. Prioridad máxima de seguimiento.",IF(G37&gt;2,"Variable oculta: gobierna el sistema a través de cadenas indirectas.",IF(H37&gt;2,"Variable latente: hoy es secundaria, pero ganará peso si las relaciones potenciales se materializan.",IF(AND(G37&lt;-2,H37&lt;-2),"Su importancia aparente en la lectura directa no se sostiene ni por vía indirecta ni potencial.","Comportamiento estable en las distintas clasificaciones.")))))</f>
        <v/>
      </c>
    </row>
    <row r="38" spans="1:12" x14ac:dyDescent="0.2">
      <c r="A38" s="21">
        <f>IF('_motor'!$B$618=0,"",'02 · Variables'!$B$39)</f>
        <v/>
      </c>
      <c r="B38" s="19">
        <f>IF('_motor'!$B$618=0,"",'02 · Variables'!$C$39)</f>
        <v/>
      </c>
      <c r="C38" s="22">
        <f>IF('_motor'!$B$618=0,"",SUMPRODUCT('_motor'!$B$586:$B$665*('_motor'!$C$586:$C$665&gt;'_motor'!$C$618))+(SUMPRODUCT('_motor'!$B$586:$B$665*('_motor'!$C$586:$C$665='_motor'!$C$618))+1)/2)</f>
        <v/>
      </c>
      <c r="D38" s="22">
        <f>IF('_motor'!$B$618=0,"",SUMPRODUCT('_motor'!$B$586:$B$665*('_motor'!$E$586:$E$665&gt;'_motor'!$E$618))+(SUMPRODUCT('_motor'!$B$586:$B$665*('_motor'!$E$586:$E$665='_motor'!$E$618))+1)/2)</f>
        <v/>
      </c>
      <c r="E38" s="22">
        <f>IF('_motor'!$B$618=0,"",SUMPRODUCT('_motor'!$B$586:$B$665*('_motor'!$G$586:$G$665&gt;'_motor'!$G$618))+(SUMPRODUCT('_motor'!$B$586:$B$665*('_motor'!$G$586:$G$665='_motor'!$G$618))+1)/2)</f>
        <v/>
      </c>
      <c r="F38" s="22">
        <f>IF('_motor'!$B$618=0,"",SUMPRODUCT('_motor'!$B$586:$B$665*('_motor'!$I$586:$I$665&gt;'_motor'!$I$618))+(SUMPRODUCT('_motor'!$B$586:$B$665*('_motor'!$I$586:$I$665='_motor'!$I$618))+1)/2)</f>
        <v/>
      </c>
      <c r="G38" s="22">
        <f>IF('_motor'!$B$618=0,"",C38-D38)</f>
        <v/>
      </c>
      <c r="H38" s="22">
        <f>IF('_motor'!$B$618=0,"",C38-E38)</f>
        <v/>
      </c>
      <c r="I38" s="19">
        <f>IF('_motor'!$B$618=0,"",IF(AND(ABS('_motor'!$C$618-'_motor'!$B$668)&lt;='_motor'!$B$676+0.000000001,ABS('_motor'!$D$618-'_motor'!$B$668)&lt;='_motor'!$B$676+0.000000001),"5 · Pelotón (no concluyente)",IF(AND('_motor'!$C$618&gt;='_motor'!$B$668,'_motor'!$D$618&lt;'_motor'!$B$668),"1 · Entrada / determinante",IF(AND('_motor'!$C$618&gt;='_motor'!$B$668,'_motor'!$D$618&gt;='_motor'!$B$668),"2 · Intermedia / de enlace",IF(AND('_motor'!$C$618&lt;'_motor'!$B$668,'_motor'!$D$618&gt;='_motor'!$B$668),"3 · Resultado","4 · Excluida / autónoma")))))</f>
        <v/>
      </c>
      <c r="J38" s="19">
        <f>IF('_motor'!$B$618=0,"",IF(AND(ABS('_motor'!$I$618-'_motor'!$B$671)&lt;='_motor'!$B$679+0.000000001,ABS('_motor'!$J$618-'_motor'!$B$671)&lt;='_motor'!$B$679+0.000000001),"5 · Pelotón (no concluyente)",IF(AND('_motor'!$I$618&gt;='_motor'!$B$671,'_motor'!$J$618&lt;'_motor'!$B$671),"1 · Entrada / determinante",IF(AND('_motor'!$I$618&gt;='_motor'!$B$671,'_motor'!$J$618&gt;='_motor'!$B$671),"2 · Intermedia / de enlace",IF(AND('_motor'!$I$618&lt;'_motor'!$B$671,'_motor'!$J$618&gt;='_motor'!$B$671),"3 · Resultado","4 · Excluida / autónoma")))))</f>
        <v/>
      </c>
      <c r="K38" s="22">
        <f>IF('_motor'!$B$618=0,"",IF(LEFT(I38,1)=LEFT(J38,1),"No","SÍ"))</f>
        <v/>
      </c>
      <c r="L38" s="19">
        <f>IF('_motor'!$B$618=0,"",IF(AND(G38&gt;2,H38&gt;2),"Variable oculta y además latente: su peso real está muy infravalorado en la lectura directa. Prioridad máxima de seguimiento.",IF(G38&gt;2,"Variable oculta: gobierna el sistema a través de cadenas indirectas.",IF(H38&gt;2,"Variable latente: hoy es secundaria, pero ganará peso si las relaciones potenciales se materializan.",IF(AND(G38&lt;-2,H38&lt;-2),"Su importancia aparente en la lectura directa no se sostiene ni por vía indirecta ni potencial.","Comportamiento estable en las distintas clasificaciones.")))))</f>
        <v/>
      </c>
    </row>
    <row r="39" spans="1:12" x14ac:dyDescent="0.2">
      <c r="A39" s="21">
        <f>IF('_motor'!$B$619=0,"",'02 · Variables'!$B$40)</f>
        <v/>
      </c>
      <c r="B39" s="19">
        <f>IF('_motor'!$B$619=0,"",'02 · Variables'!$C$40)</f>
        <v/>
      </c>
      <c r="C39" s="22">
        <f>IF('_motor'!$B$619=0,"",SUMPRODUCT('_motor'!$B$586:$B$665*('_motor'!$C$586:$C$665&gt;'_motor'!$C$619))+(SUMPRODUCT('_motor'!$B$586:$B$665*('_motor'!$C$586:$C$665='_motor'!$C$619))+1)/2)</f>
        <v/>
      </c>
      <c r="D39" s="22">
        <f>IF('_motor'!$B$619=0,"",SUMPRODUCT('_motor'!$B$586:$B$665*('_motor'!$E$586:$E$665&gt;'_motor'!$E$619))+(SUMPRODUCT('_motor'!$B$586:$B$665*('_motor'!$E$586:$E$665='_motor'!$E$619))+1)/2)</f>
        <v/>
      </c>
      <c r="E39" s="22">
        <f>IF('_motor'!$B$619=0,"",SUMPRODUCT('_motor'!$B$586:$B$665*('_motor'!$G$586:$G$665&gt;'_motor'!$G$619))+(SUMPRODUCT('_motor'!$B$586:$B$665*('_motor'!$G$586:$G$665='_motor'!$G$619))+1)/2)</f>
        <v/>
      </c>
      <c r="F39" s="22">
        <f>IF('_motor'!$B$619=0,"",SUMPRODUCT('_motor'!$B$586:$B$665*('_motor'!$I$586:$I$665&gt;'_motor'!$I$619))+(SUMPRODUCT('_motor'!$B$586:$B$665*('_motor'!$I$586:$I$665='_motor'!$I$619))+1)/2)</f>
        <v/>
      </c>
      <c r="G39" s="22">
        <f>IF('_motor'!$B$619=0,"",C39-D39)</f>
        <v/>
      </c>
      <c r="H39" s="22">
        <f>IF('_motor'!$B$619=0,"",C39-E39)</f>
        <v/>
      </c>
      <c r="I39" s="19">
        <f>IF('_motor'!$B$619=0,"",IF(AND(ABS('_motor'!$C$619-'_motor'!$B$668)&lt;='_motor'!$B$676+0.000000001,ABS('_motor'!$D$619-'_motor'!$B$668)&lt;='_motor'!$B$676+0.000000001),"5 · Pelotón (no concluyente)",IF(AND('_motor'!$C$619&gt;='_motor'!$B$668,'_motor'!$D$619&lt;'_motor'!$B$668),"1 · Entrada / determinante",IF(AND('_motor'!$C$619&gt;='_motor'!$B$668,'_motor'!$D$619&gt;='_motor'!$B$668),"2 · Intermedia / de enlace",IF(AND('_motor'!$C$619&lt;'_motor'!$B$668,'_motor'!$D$619&gt;='_motor'!$B$668),"3 · Resultado","4 · Excluida / autónoma")))))</f>
        <v/>
      </c>
      <c r="J39" s="19">
        <f>IF('_motor'!$B$619=0,"",IF(AND(ABS('_motor'!$I$619-'_motor'!$B$671)&lt;='_motor'!$B$679+0.000000001,ABS('_motor'!$J$619-'_motor'!$B$671)&lt;='_motor'!$B$679+0.000000001),"5 · Pelotón (no concluyente)",IF(AND('_motor'!$I$619&gt;='_motor'!$B$671,'_motor'!$J$619&lt;'_motor'!$B$671),"1 · Entrada / determinante",IF(AND('_motor'!$I$619&gt;='_motor'!$B$671,'_motor'!$J$619&gt;='_motor'!$B$671),"2 · Intermedia / de enlace",IF(AND('_motor'!$I$619&lt;'_motor'!$B$671,'_motor'!$J$619&gt;='_motor'!$B$671),"3 · Resultado","4 · Excluida / autónoma")))))</f>
        <v/>
      </c>
      <c r="K39" s="22">
        <f>IF('_motor'!$B$619=0,"",IF(LEFT(I39,1)=LEFT(J39,1),"No","SÍ"))</f>
        <v/>
      </c>
      <c r="L39" s="19">
        <f>IF('_motor'!$B$619=0,"",IF(AND(G39&gt;2,H39&gt;2),"Variable oculta y además latente: su peso real está muy infravalorado en la lectura directa. Prioridad máxima de seguimiento.",IF(G39&gt;2,"Variable oculta: gobierna el sistema a través de cadenas indirectas.",IF(H39&gt;2,"Variable latente: hoy es secundaria, pero ganará peso si las relaciones potenciales se materializan.",IF(AND(G39&lt;-2,H39&lt;-2),"Su importancia aparente en la lectura directa no se sostiene ni por vía indirecta ni potencial.","Comportamiento estable en las distintas clasificaciones.")))))</f>
        <v/>
      </c>
    </row>
    <row r="40" spans="1:12" x14ac:dyDescent="0.2">
      <c r="A40" s="21">
        <f>IF('_motor'!$B$620=0,"",'02 · Variables'!$B$41)</f>
        <v/>
      </c>
      <c r="B40" s="19">
        <f>IF('_motor'!$B$620=0,"",'02 · Variables'!$C$41)</f>
        <v/>
      </c>
      <c r="C40" s="22">
        <f>IF('_motor'!$B$620=0,"",SUMPRODUCT('_motor'!$B$586:$B$665*('_motor'!$C$586:$C$665&gt;'_motor'!$C$620))+(SUMPRODUCT('_motor'!$B$586:$B$665*('_motor'!$C$586:$C$665='_motor'!$C$620))+1)/2)</f>
        <v/>
      </c>
      <c r="D40" s="22">
        <f>IF('_motor'!$B$620=0,"",SUMPRODUCT('_motor'!$B$586:$B$665*('_motor'!$E$586:$E$665&gt;'_motor'!$E$620))+(SUMPRODUCT('_motor'!$B$586:$B$665*('_motor'!$E$586:$E$665='_motor'!$E$620))+1)/2)</f>
        <v/>
      </c>
      <c r="E40" s="22">
        <f>IF('_motor'!$B$620=0,"",SUMPRODUCT('_motor'!$B$586:$B$665*('_motor'!$G$586:$G$665&gt;'_motor'!$G$620))+(SUMPRODUCT('_motor'!$B$586:$B$665*('_motor'!$G$586:$G$665='_motor'!$G$620))+1)/2)</f>
        <v/>
      </c>
      <c r="F40" s="22">
        <f>IF('_motor'!$B$620=0,"",SUMPRODUCT('_motor'!$B$586:$B$665*('_motor'!$I$586:$I$665&gt;'_motor'!$I$620))+(SUMPRODUCT('_motor'!$B$586:$B$665*('_motor'!$I$586:$I$665='_motor'!$I$620))+1)/2)</f>
        <v/>
      </c>
      <c r="G40" s="22">
        <f>IF('_motor'!$B$620=0,"",C40-D40)</f>
        <v/>
      </c>
      <c r="H40" s="22">
        <f>IF('_motor'!$B$620=0,"",C40-E40)</f>
        <v/>
      </c>
      <c r="I40" s="19">
        <f>IF('_motor'!$B$620=0,"",IF(AND(ABS('_motor'!$C$620-'_motor'!$B$668)&lt;='_motor'!$B$676+0.000000001,ABS('_motor'!$D$620-'_motor'!$B$668)&lt;='_motor'!$B$676+0.000000001),"5 · Pelotón (no concluyente)",IF(AND('_motor'!$C$620&gt;='_motor'!$B$668,'_motor'!$D$620&lt;'_motor'!$B$668),"1 · Entrada / determinante",IF(AND('_motor'!$C$620&gt;='_motor'!$B$668,'_motor'!$D$620&gt;='_motor'!$B$668),"2 · Intermedia / de enlace",IF(AND('_motor'!$C$620&lt;'_motor'!$B$668,'_motor'!$D$620&gt;='_motor'!$B$668),"3 · Resultado","4 · Excluida / autónoma")))))</f>
        <v/>
      </c>
      <c r="J40" s="19">
        <f>IF('_motor'!$B$620=0,"",IF(AND(ABS('_motor'!$I$620-'_motor'!$B$671)&lt;='_motor'!$B$679+0.000000001,ABS('_motor'!$J$620-'_motor'!$B$671)&lt;='_motor'!$B$679+0.000000001),"5 · Pelotón (no concluyente)",IF(AND('_motor'!$I$620&gt;='_motor'!$B$671,'_motor'!$J$620&lt;'_motor'!$B$671),"1 · Entrada / determinante",IF(AND('_motor'!$I$620&gt;='_motor'!$B$671,'_motor'!$J$620&gt;='_motor'!$B$671),"2 · Intermedia / de enlace",IF(AND('_motor'!$I$620&lt;'_motor'!$B$671,'_motor'!$J$620&gt;='_motor'!$B$671),"3 · Resultado","4 · Excluida / autónoma")))))</f>
        <v/>
      </c>
      <c r="K40" s="22">
        <f>IF('_motor'!$B$620=0,"",IF(LEFT(I40,1)=LEFT(J40,1),"No","SÍ"))</f>
        <v/>
      </c>
      <c r="L40" s="19">
        <f>IF('_motor'!$B$620=0,"",IF(AND(G40&gt;2,H40&gt;2),"Variable oculta y además latente: su peso real está muy infravalorado en la lectura directa. Prioridad máxima de seguimiento.",IF(G40&gt;2,"Variable oculta: gobierna el sistema a través de cadenas indirectas.",IF(H40&gt;2,"Variable latente: hoy es secundaria, pero ganará peso si las relaciones potenciales se materializan.",IF(AND(G40&lt;-2,H40&lt;-2),"Su importancia aparente en la lectura directa no se sostiene ni por vía indirecta ni potencial.","Comportamiento estable en las distintas clasificaciones.")))))</f>
        <v/>
      </c>
    </row>
    <row r="41" spans="1:12" x14ac:dyDescent="0.2">
      <c r="A41" s="21">
        <f>IF('_motor'!$B$621=0,"",'02 · Variables'!$B$42)</f>
        <v/>
      </c>
      <c r="B41" s="19">
        <f>IF('_motor'!$B$621=0,"",'02 · Variables'!$C$42)</f>
        <v/>
      </c>
      <c r="C41" s="22">
        <f>IF('_motor'!$B$621=0,"",SUMPRODUCT('_motor'!$B$586:$B$665*('_motor'!$C$586:$C$665&gt;'_motor'!$C$621))+(SUMPRODUCT('_motor'!$B$586:$B$665*('_motor'!$C$586:$C$665='_motor'!$C$621))+1)/2)</f>
        <v/>
      </c>
      <c r="D41" s="22">
        <f>IF('_motor'!$B$621=0,"",SUMPRODUCT('_motor'!$B$586:$B$665*('_motor'!$E$586:$E$665&gt;'_motor'!$E$621))+(SUMPRODUCT('_motor'!$B$586:$B$665*('_motor'!$E$586:$E$665='_motor'!$E$621))+1)/2)</f>
        <v/>
      </c>
      <c r="E41" s="22">
        <f>IF('_motor'!$B$621=0,"",SUMPRODUCT('_motor'!$B$586:$B$665*('_motor'!$G$586:$G$665&gt;'_motor'!$G$621))+(SUMPRODUCT('_motor'!$B$586:$B$665*('_motor'!$G$586:$G$665='_motor'!$G$621))+1)/2)</f>
        <v/>
      </c>
      <c r="F41" s="22">
        <f>IF('_motor'!$B$621=0,"",SUMPRODUCT('_motor'!$B$586:$B$665*('_motor'!$I$586:$I$665&gt;'_motor'!$I$621))+(SUMPRODUCT('_motor'!$B$586:$B$665*('_motor'!$I$586:$I$665='_motor'!$I$621))+1)/2)</f>
        <v/>
      </c>
      <c r="G41" s="22">
        <f>IF('_motor'!$B$621=0,"",C41-D41)</f>
        <v/>
      </c>
      <c r="H41" s="22">
        <f>IF('_motor'!$B$621=0,"",C41-E41)</f>
        <v/>
      </c>
      <c r="I41" s="19">
        <f>IF('_motor'!$B$621=0,"",IF(AND(ABS('_motor'!$C$621-'_motor'!$B$668)&lt;='_motor'!$B$676+0.000000001,ABS('_motor'!$D$621-'_motor'!$B$668)&lt;='_motor'!$B$676+0.000000001),"5 · Pelotón (no concluyente)",IF(AND('_motor'!$C$621&gt;='_motor'!$B$668,'_motor'!$D$621&lt;'_motor'!$B$668),"1 · Entrada / determinante",IF(AND('_motor'!$C$621&gt;='_motor'!$B$668,'_motor'!$D$621&gt;='_motor'!$B$668),"2 · Intermedia / de enlace",IF(AND('_motor'!$C$621&lt;'_motor'!$B$668,'_motor'!$D$621&gt;='_motor'!$B$668),"3 · Resultado","4 · Excluida / autónoma")))))</f>
        <v/>
      </c>
      <c r="J41" s="19">
        <f>IF('_motor'!$B$621=0,"",IF(AND(ABS('_motor'!$I$621-'_motor'!$B$671)&lt;='_motor'!$B$679+0.000000001,ABS('_motor'!$J$621-'_motor'!$B$671)&lt;='_motor'!$B$679+0.000000001),"5 · Pelotón (no concluyente)",IF(AND('_motor'!$I$621&gt;='_motor'!$B$671,'_motor'!$J$621&lt;'_motor'!$B$671),"1 · Entrada / determinante",IF(AND('_motor'!$I$621&gt;='_motor'!$B$671,'_motor'!$J$621&gt;='_motor'!$B$671),"2 · Intermedia / de enlace",IF(AND('_motor'!$I$621&lt;'_motor'!$B$671,'_motor'!$J$621&gt;='_motor'!$B$671),"3 · Resultado","4 · Excluida / autónoma")))))</f>
        <v/>
      </c>
      <c r="K41" s="22">
        <f>IF('_motor'!$B$621=0,"",IF(LEFT(I41,1)=LEFT(J41,1),"No","SÍ"))</f>
        <v/>
      </c>
      <c r="L41" s="19">
        <f>IF('_motor'!$B$621=0,"",IF(AND(G41&gt;2,H41&gt;2),"Variable oculta y además latente: su peso real está muy infravalorado en la lectura directa. Prioridad máxima de seguimiento.",IF(G41&gt;2,"Variable oculta: gobierna el sistema a través de cadenas indirectas.",IF(H41&gt;2,"Variable latente: hoy es secundaria, pero ganará peso si las relaciones potenciales se materializan.",IF(AND(G41&lt;-2,H41&lt;-2),"Su importancia aparente en la lectura directa no se sostiene ni por vía indirecta ni potencial.","Comportamiento estable en las distintas clasificaciones.")))))</f>
        <v/>
      </c>
    </row>
    <row r="42" spans="1:12" x14ac:dyDescent="0.2">
      <c r="A42" s="21">
        <f>IF('_motor'!$B$622=0,"",'02 · Variables'!$B$43)</f>
        <v/>
      </c>
      <c r="B42" s="19">
        <f>IF('_motor'!$B$622=0,"",'02 · Variables'!$C$43)</f>
        <v/>
      </c>
      <c r="C42" s="22">
        <f>IF('_motor'!$B$622=0,"",SUMPRODUCT('_motor'!$B$586:$B$665*('_motor'!$C$586:$C$665&gt;'_motor'!$C$622))+(SUMPRODUCT('_motor'!$B$586:$B$665*('_motor'!$C$586:$C$665='_motor'!$C$622))+1)/2)</f>
        <v/>
      </c>
      <c r="D42" s="22">
        <f>IF('_motor'!$B$622=0,"",SUMPRODUCT('_motor'!$B$586:$B$665*('_motor'!$E$586:$E$665&gt;'_motor'!$E$622))+(SUMPRODUCT('_motor'!$B$586:$B$665*('_motor'!$E$586:$E$665='_motor'!$E$622))+1)/2)</f>
        <v/>
      </c>
      <c r="E42" s="22">
        <f>IF('_motor'!$B$622=0,"",SUMPRODUCT('_motor'!$B$586:$B$665*('_motor'!$G$586:$G$665&gt;'_motor'!$G$622))+(SUMPRODUCT('_motor'!$B$586:$B$665*('_motor'!$G$586:$G$665='_motor'!$G$622))+1)/2)</f>
        <v/>
      </c>
      <c r="F42" s="22">
        <f>IF('_motor'!$B$622=0,"",SUMPRODUCT('_motor'!$B$586:$B$665*('_motor'!$I$586:$I$665&gt;'_motor'!$I$622))+(SUMPRODUCT('_motor'!$B$586:$B$665*('_motor'!$I$586:$I$665='_motor'!$I$622))+1)/2)</f>
        <v/>
      </c>
      <c r="G42" s="22">
        <f>IF('_motor'!$B$622=0,"",C42-D42)</f>
        <v/>
      </c>
      <c r="H42" s="22">
        <f>IF('_motor'!$B$622=0,"",C42-E42)</f>
        <v/>
      </c>
      <c r="I42" s="19">
        <f>IF('_motor'!$B$622=0,"",IF(AND(ABS('_motor'!$C$622-'_motor'!$B$668)&lt;='_motor'!$B$676+0.000000001,ABS('_motor'!$D$622-'_motor'!$B$668)&lt;='_motor'!$B$676+0.000000001),"5 · Pelotón (no concluyente)",IF(AND('_motor'!$C$622&gt;='_motor'!$B$668,'_motor'!$D$622&lt;'_motor'!$B$668),"1 · Entrada / determinante",IF(AND('_motor'!$C$622&gt;='_motor'!$B$668,'_motor'!$D$622&gt;='_motor'!$B$668),"2 · Intermedia / de enlace",IF(AND('_motor'!$C$622&lt;'_motor'!$B$668,'_motor'!$D$622&gt;='_motor'!$B$668),"3 · Resultado","4 · Excluida / autónoma")))))</f>
        <v/>
      </c>
      <c r="J42" s="19">
        <f>IF('_motor'!$B$622=0,"",IF(AND(ABS('_motor'!$I$622-'_motor'!$B$671)&lt;='_motor'!$B$679+0.000000001,ABS('_motor'!$J$622-'_motor'!$B$671)&lt;='_motor'!$B$679+0.000000001),"5 · Pelotón (no concluyente)",IF(AND('_motor'!$I$622&gt;='_motor'!$B$671,'_motor'!$J$622&lt;'_motor'!$B$671),"1 · Entrada / determinante",IF(AND('_motor'!$I$622&gt;='_motor'!$B$671,'_motor'!$J$622&gt;='_motor'!$B$671),"2 · Intermedia / de enlace",IF(AND('_motor'!$I$622&lt;'_motor'!$B$671,'_motor'!$J$622&gt;='_motor'!$B$671),"3 · Resultado","4 · Excluida / autónoma")))))</f>
        <v/>
      </c>
      <c r="K42" s="22">
        <f>IF('_motor'!$B$622=0,"",IF(LEFT(I42,1)=LEFT(J42,1),"No","SÍ"))</f>
        <v/>
      </c>
      <c r="L42" s="19">
        <f>IF('_motor'!$B$622=0,"",IF(AND(G42&gt;2,H42&gt;2),"Variable oculta y además latente: su peso real está muy infravalorado en la lectura directa. Prioridad máxima de seguimiento.",IF(G42&gt;2,"Variable oculta: gobierna el sistema a través de cadenas indirectas.",IF(H42&gt;2,"Variable latente: hoy es secundaria, pero ganará peso si las relaciones potenciales se materializan.",IF(AND(G42&lt;-2,H42&lt;-2),"Su importancia aparente en la lectura directa no se sostiene ni por vía indirecta ni potencial.","Comportamiento estable en las distintas clasificaciones.")))))</f>
        <v/>
      </c>
    </row>
    <row r="43" spans="1:12" x14ac:dyDescent="0.2">
      <c r="A43" s="21">
        <f>IF('_motor'!$B$623=0,"",'02 · Variables'!$B$44)</f>
        <v/>
      </c>
      <c r="B43" s="19">
        <f>IF('_motor'!$B$623=0,"",'02 · Variables'!$C$44)</f>
        <v/>
      </c>
      <c r="C43" s="22">
        <f>IF('_motor'!$B$623=0,"",SUMPRODUCT('_motor'!$B$586:$B$665*('_motor'!$C$586:$C$665&gt;'_motor'!$C$623))+(SUMPRODUCT('_motor'!$B$586:$B$665*('_motor'!$C$586:$C$665='_motor'!$C$623))+1)/2)</f>
        <v/>
      </c>
      <c r="D43" s="22">
        <f>IF('_motor'!$B$623=0,"",SUMPRODUCT('_motor'!$B$586:$B$665*('_motor'!$E$586:$E$665&gt;'_motor'!$E$623))+(SUMPRODUCT('_motor'!$B$586:$B$665*('_motor'!$E$586:$E$665='_motor'!$E$623))+1)/2)</f>
        <v/>
      </c>
      <c r="E43" s="22">
        <f>IF('_motor'!$B$623=0,"",SUMPRODUCT('_motor'!$B$586:$B$665*('_motor'!$G$586:$G$665&gt;'_motor'!$G$623))+(SUMPRODUCT('_motor'!$B$586:$B$665*('_motor'!$G$586:$G$665='_motor'!$G$623))+1)/2)</f>
        <v/>
      </c>
      <c r="F43" s="22">
        <f>IF('_motor'!$B$623=0,"",SUMPRODUCT('_motor'!$B$586:$B$665*('_motor'!$I$586:$I$665&gt;'_motor'!$I$623))+(SUMPRODUCT('_motor'!$B$586:$B$665*('_motor'!$I$586:$I$665='_motor'!$I$623))+1)/2)</f>
        <v/>
      </c>
      <c r="G43" s="22">
        <f>IF('_motor'!$B$623=0,"",C43-D43)</f>
        <v/>
      </c>
      <c r="H43" s="22">
        <f>IF('_motor'!$B$623=0,"",C43-E43)</f>
        <v/>
      </c>
      <c r="I43" s="19">
        <f>IF('_motor'!$B$623=0,"",IF(AND(ABS('_motor'!$C$623-'_motor'!$B$668)&lt;='_motor'!$B$676+0.000000001,ABS('_motor'!$D$623-'_motor'!$B$668)&lt;='_motor'!$B$676+0.000000001),"5 · Pelotón (no concluyente)",IF(AND('_motor'!$C$623&gt;='_motor'!$B$668,'_motor'!$D$623&lt;'_motor'!$B$668),"1 · Entrada / determinante",IF(AND('_motor'!$C$623&gt;='_motor'!$B$668,'_motor'!$D$623&gt;='_motor'!$B$668),"2 · Intermedia / de enlace",IF(AND('_motor'!$C$623&lt;'_motor'!$B$668,'_motor'!$D$623&gt;='_motor'!$B$668),"3 · Resultado","4 · Excluida / autónoma")))))</f>
        <v/>
      </c>
      <c r="J43" s="19">
        <f>IF('_motor'!$B$623=0,"",IF(AND(ABS('_motor'!$I$623-'_motor'!$B$671)&lt;='_motor'!$B$679+0.000000001,ABS('_motor'!$J$623-'_motor'!$B$671)&lt;='_motor'!$B$679+0.000000001),"5 · Pelotón (no concluyente)",IF(AND('_motor'!$I$623&gt;='_motor'!$B$671,'_motor'!$J$623&lt;'_motor'!$B$671),"1 · Entrada / determinante",IF(AND('_motor'!$I$623&gt;='_motor'!$B$671,'_motor'!$J$623&gt;='_motor'!$B$671),"2 · Intermedia / de enlace",IF(AND('_motor'!$I$623&lt;'_motor'!$B$671,'_motor'!$J$623&gt;='_motor'!$B$671),"3 · Resultado","4 · Excluida / autónoma")))))</f>
        <v/>
      </c>
      <c r="K43" s="22">
        <f>IF('_motor'!$B$623=0,"",IF(LEFT(I43,1)=LEFT(J43,1),"No","SÍ"))</f>
        <v/>
      </c>
      <c r="L43" s="19">
        <f>IF('_motor'!$B$623=0,"",IF(AND(G43&gt;2,H43&gt;2),"Variable oculta y además latente: su peso real está muy infravalorado en la lectura directa. Prioridad máxima de seguimiento.",IF(G43&gt;2,"Variable oculta: gobierna el sistema a través de cadenas indirectas.",IF(H43&gt;2,"Variable latente: hoy es secundaria, pero ganará peso si las relaciones potenciales se materializan.",IF(AND(G43&lt;-2,H43&lt;-2),"Su importancia aparente en la lectura directa no se sostiene ni por vía indirecta ni potencial.","Comportamiento estable en las distintas clasificaciones.")))))</f>
        <v/>
      </c>
    </row>
    <row r="44" spans="1:12" x14ac:dyDescent="0.2">
      <c r="A44" s="21">
        <f>IF('_motor'!$B$624=0,"",'02 · Variables'!$B$45)</f>
        <v/>
      </c>
      <c r="B44" s="19">
        <f>IF('_motor'!$B$624=0,"",'02 · Variables'!$C$45)</f>
        <v/>
      </c>
      <c r="C44" s="22">
        <f>IF('_motor'!$B$624=0,"",SUMPRODUCT('_motor'!$B$586:$B$665*('_motor'!$C$586:$C$665&gt;'_motor'!$C$624))+(SUMPRODUCT('_motor'!$B$586:$B$665*('_motor'!$C$586:$C$665='_motor'!$C$624))+1)/2)</f>
        <v/>
      </c>
      <c r="D44" s="22">
        <f>IF('_motor'!$B$624=0,"",SUMPRODUCT('_motor'!$B$586:$B$665*('_motor'!$E$586:$E$665&gt;'_motor'!$E$624))+(SUMPRODUCT('_motor'!$B$586:$B$665*('_motor'!$E$586:$E$665='_motor'!$E$624))+1)/2)</f>
        <v/>
      </c>
      <c r="E44" s="22">
        <f>IF('_motor'!$B$624=0,"",SUMPRODUCT('_motor'!$B$586:$B$665*('_motor'!$G$586:$G$665&gt;'_motor'!$G$624))+(SUMPRODUCT('_motor'!$B$586:$B$665*('_motor'!$G$586:$G$665='_motor'!$G$624))+1)/2)</f>
        <v/>
      </c>
      <c r="F44" s="22">
        <f>IF('_motor'!$B$624=0,"",SUMPRODUCT('_motor'!$B$586:$B$665*('_motor'!$I$586:$I$665&gt;'_motor'!$I$624))+(SUMPRODUCT('_motor'!$B$586:$B$665*('_motor'!$I$586:$I$665='_motor'!$I$624))+1)/2)</f>
        <v/>
      </c>
      <c r="G44" s="22">
        <f>IF('_motor'!$B$624=0,"",C44-D44)</f>
        <v/>
      </c>
      <c r="H44" s="22">
        <f>IF('_motor'!$B$624=0,"",C44-E44)</f>
        <v/>
      </c>
      <c r="I44" s="19">
        <f>IF('_motor'!$B$624=0,"",IF(AND(ABS('_motor'!$C$624-'_motor'!$B$668)&lt;='_motor'!$B$676+0.000000001,ABS('_motor'!$D$624-'_motor'!$B$668)&lt;='_motor'!$B$676+0.000000001),"5 · Pelotón (no concluyente)",IF(AND('_motor'!$C$624&gt;='_motor'!$B$668,'_motor'!$D$624&lt;'_motor'!$B$668),"1 · Entrada / determinante",IF(AND('_motor'!$C$624&gt;='_motor'!$B$668,'_motor'!$D$624&gt;='_motor'!$B$668),"2 · Intermedia / de enlace",IF(AND('_motor'!$C$624&lt;'_motor'!$B$668,'_motor'!$D$624&gt;='_motor'!$B$668),"3 · Resultado","4 · Excluida / autónoma")))))</f>
        <v/>
      </c>
      <c r="J44" s="19">
        <f>IF('_motor'!$B$624=0,"",IF(AND(ABS('_motor'!$I$624-'_motor'!$B$671)&lt;='_motor'!$B$679+0.000000001,ABS('_motor'!$J$624-'_motor'!$B$671)&lt;='_motor'!$B$679+0.000000001),"5 · Pelotón (no concluyente)",IF(AND('_motor'!$I$624&gt;='_motor'!$B$671,'_motor'!$J$624&lt;'_motor'!$B$671),"1 · Entrada / determinante",IF(AND('_motor'!$I$624&gt;='_motor'!$B$671,'_motor'!$J$624&gt;='_motor'!$B$671),"2 · Intermedia / de enlace",IF(AND('_motor'!$I$624&lt;'_motor'!$B$671,'_motor'!$J$624&gt;='_motor'!$B$671),"3 · Resultado","4 · Excluida / autónoma")))))</f>
        <v/>
      </c>
      <c r="K44" s="22">
        <f>IF('_motor'!$B$624=0,"",IF(LEFT(I44,1)=LEFT(J44,1),"No","SÍ"))</f>
        <v/>
      </c>
      <c r="L44" s="19">
        <f>IF('_motor'!$B$624=0,"",IF(AND(G44&gt;2,H44&gt;2),"Variable oculta y además latente: su peso real está muy infravalorado en la lectura directa. Prioridad máxima de seguimiento.",IF(G44&gt;2,"Variable oculta: gobierna el sistema a través de cadenas indirectas.",IF(H44&gt;2,"Variable latente: hoy es secundaria, pero ganará peso si las relaciones potenciales se materializan.",IF(AND(G44&lt;-2,H44&lt;-2),"Su importancia aparente en la lectura directa no se sostiene ni por vía indirecta ni potencial.","Comportamiento estable en las distintas clasificaciones.")))))</f>
        <v/>
      </c>
    </row>
    <row r="45" spans="1:12" x14ac:dyDescent="0.2">
      <c r="A45" s="21">
        <f>IF('_motor'!$B$625=0,"",'02 · Variables'!$B$46)</f>
        <v/>
      </c>
      <c r="B45" s="19">
        <f>IF('_motor'!$B$625=0,"",'02 · Variables'!$C$46)</f>
        <v/>
      </c>
      <c r="C45" s="22">
        <f>IF('_motor'!$B$625=0,"",SUMPRODUCT('_motor'!$B$586:$B$665*('_motor'!$C$586:$C$665&gt;'_motor'!$C$625))+(SUMPRODUCT('_motor'!$B$586:$B$665*('_motor'!$C$586:$C$665='_motor'!$C$625))+1)/2)</f>
        <v/>
      </c>
      <c r="D45" s="22">
        <f>IF('_motor'!$B$625=0,"",SUMPRODUCT('_motor'!$B$586:$B$665*('_motor'!$E$586:$E$665&gt;'_motor'!$E$625))+(SUMPRODUCT('_motor'!$B$586:$B$665*('_motor'!$E$586:$E$665='_motor'!$E$625))+1)/2)</f>
        <v/>
      </c>
      <c r="E45" s="22">
        <f>IF('_motor'!$B$625=0,"",SUMPRODUCT('_motor'!$B$586:$B$665*('_motor'!$G$586:$G$665&gt;'_motor'!$G$625))+(SUMPRODUCT('_motor'!$B$586:$B$665*('_motor'!$G$586:$G$665='_motor'!$G$625))+1)/2)</f>
        <v/>
      </c>
      <c r="F45" s="22">
        <f>IF('_motor'!$B$625=0,"",SUMPRODUCT('_motor'!$B$586:$B$665*('_motor'!$I$586:$I$665&gt;'_motor'!$I$625))+(SUMPRODUCT('_motor'!$B$586:$B$665*('_motor'!$I$586:$I$665='_motor'!$I$625))+1)/2)</f>
        <v/>
      </c>
      <c r="G45" s="22">
        <f>IF('_motor'!$B$625=0,"",C45-D45)</f>
        <v/>
      </c>
      <c r="H45" s="22">
        <f>IF('_motor'!$B$625=0,"",C45-E45)</f>
        <v/>
      </c>
      <c r="I45" s="19">
        <f>IF('_motor'!$B$625=0,"",IF(AND(ABS('_motor'!$C$625-'_motor'!$B$668)&lt;='_motor'!$B$676+0.000000001,ABS('_motor'!$D$625-'_motor'!$B$668)&lt;='_motor'!$B$676+0.000000001),"5 · Pelotón (no concluyente)",IF(AND('_motor'!$C$625&gt;='_motor'!$B$668,'_motor'!$D$625&lt;'_motor'!$B$668),"1 · Entrada / determinante",IF(AND('_motor'!$C$625&gt;='_motor'!$B$668,'_motor'!$D$625&gt;='_motor'!$B$668),"2 · Intermedia / de enlace",IF(AND('_motor'!$C$625&lt;'_motor'!$B$668,'_motor'!$D$625&gt;='_motor'!$B$668),"3 · Resultado","4 · Excluida / autónoma")))))</f>
        <v/>
      </c>
      <c r="J45" s="19">
        <f>IF('_motor'!$B$625=0,"",IF(AND(ABS('_motor'!$I$625-'_motor'!$B$671)&lt;='_motor'!$B$679+0.000000001,ABS('_motor'!$J$625-'_motor'!$B$671)&lt;='_motor'!$B$679+0.000000001),"5 · Pelotón (no concluyente)",IF(AND('_motor'!$I$625&gt;='_motor'!$B$671,'_motor'!$J$625&lt;'_motor'!$B$671),"1 · Entrada / determinante",IF(AND('_motor'!$I$625&gt;='_motor'!$B$671,'_motor'!$J$625&gt;='_motor'!$B$671),"2 · Intermedia / de enlace",IF(AND('_motor'!$I$625&lt;'_motor'!$B$671,'_motor'!$J$625&gt;='_motor'!$B$671),"3 · Resultado","4 · Excluida / autónoma")))))</f>
        <v/>
      </c>
      <c r="K45" s="22">
        <f>IF('_motor'!$B$625=0,"",IF(LEFT(I45,1)=LEFT(J45,1),"No","SÍ"))</f>
        <v/>
      </c>
      <c r="L45" s="19">
        <f>IF('_motor'!$B$625=0,"",IF(AND(G45&gt;2,H45&gt;2),"Variable oculta y además latente: su peso real está muy infravalorado en la lectura directa. Prioridad máxima de seguimiento.",IF(G45&gt;2,"Variable oculta: gobierna el sistema a través de cadenas indirectas.",IF(H45&gt;2,"Variable latente: hoy es secundaria, pero ganará peso si las relaciones potenciales se materializan.",IF(AND(G45&lt;-2,H45&lt;-2),"Su importancia aparente en la lectura directa no se sostiene ni por vía indirecta ni potencial.","Comportamiento estable en las distintas clasificaciones.")))))</f>
        <v/>
      </c>
    </row>
    <row r="46" spans="1:12" x14ac:dyDescent="0.2">
      <c r="A46" s="21">
        <f>IF('_motor'!$B$626=0,"",'02 · Variables'!$B$47)</f>
        <v/>
      </c>
      <c r="B46" s="19">
        <f>IF('_motor'!$B$626=0,"",'02 · Variables'!$C$47)</f>
        <v/>
      </c>
      <c r="C46" s="22">
        <f>IF('_motor'!$B$626=0,"",SUMPRODUCT('_motor'!$B$586:$B$665*('_motor'!$C$586:$C$665&gt;'_motor'!$C$626))+(SUMPRODUCT('_motor'!$B$586:$B$665*('_motor'!$C$586:$C$665='_motor'!$C$626))+1)/2)</f>
        <v/>
      </c>
      <c r="D46" s="22">
        <f>IF('_motor'!$B$626=0,"",SUMPRODUCT('_motor'!$B$586:$B$665*('_motor'!$E$586:$E$665&gt;'_motor'!$E$626))+(SUMPRODUCT('_motor'!$B$586:$B$665*('_motor'!$E$586:$E$665='_motor'!$E$626))+1)/2)</f>
        <v/>
      </c>
      <c r="E46" s="22">
        <f>IF('_motor'!$B$626=0,"",SUMPRODUCT('_motor'!$B$586:$B$665*('_motor'!$G$586:$G$665&gt;'_motor'!$G$626))+(SUMPRODUCT('_motor'!$B$586:$B$665*('_motor'!$G$586:$G$665='_motor'!$G$626))+1)/2)</f>
        <v/>
      </c>
      <c r="F46" s="22">
        <f>IF('_motor'!$B$626=0,"",SUMPRODUCT('_motor'!$B$586:$B$665*('_motor'!$I$586:$I$665&gt;'_motor'!$I$626))+(SUMPRODUCT('_motor'!$B$586:$B$665*('_motor'!$I$586:$I$665='_motor'!$I$626))+1)/2)</f>
        <v/>
      </c>
      <c r="G46" s="22">
        <f>IF('_motor'!$B$626=0,"",C46-D46)</f>
        <v/>
      </c>
      <c r="H46" s="22">
        <f>IF('_motor'!$B$626=0,"",C46-E46)</f>
        <v/>
      </c>
      <c r="I46" s="19">
        <f>IF('_motor'!$B$626=0,"",IF(AND(ABS('_motor'!$C$626-'_motor'!$B$668)&lt;='_motor'!$B$676+0.000000001,ABS('_motor'!$D$626-'_motor'!$B$668)&lt;='_motor'!$B$676+0.000000001),"5 · Pelotón (no concluyente)",IF(AND('_motor'!$C$626&gt;='_motor'!$B$668,'_motor'!$D$626&lt;'_motor'!$B$668),"1 · Entrada / determinante",IF(AND('_motor'!$C$626&gt;='_motor'!$B$668,'_motor'!$D$626&gt;='_motor'!$B$668),"2 · Intermedia / de enlace",IF(AND('_motor'!$C$626&lt;'_motor'!$B$668,'_motor'!$D$626&gt;='_motor'!$B$668),"3 · Resultado","4 · Excluida / autónoma")))))</f>
        <v/>
      </c>
      <c r="J46" s="19">
        <f>IF('_motor'!$B$626=0,"",IF(AND(ABS('_motor'!$I$626-'_motor'!$B$671)&lt;='_motor'!$B$679+0.000000001,ABS('_motor'!$J$626-'_motor'!$B$671)&lt;='_motor'!$B$679+0.000000001),"5 · Pelotón (no concluyente)",IF(AND('_motor'!$I$626&gt;='_motor'!$B$671,'_motor'!$J$626&lt;'_motor'!$B$671),"1 · Entrada / determinante",IF(AND('_motor'!$I$626&gt;='_motor'!$B$671,'_motor'!$J$626&gt;='_motor'!$B$671),"2 · Intermedia / de enlace",IF(AND('_motor'!$I$626&lt;'_motor'!$B$671,'_motor'!$J$626&gt;='_motor'!$B$671),"3 · Resultado","4 · Excluida / autónoma")))))</f>
        <v/>
      </c>
      <c r="K46" s="22">
        <f>IF('_motor'!$B$626=0,"",IF(LEFT(I46,1)=LEFT(J46,1),"No","SÍ"))</f>
        <v/>
      </c>
      <c r="L46" s="19">
        <f>IF('_motor'!$B$626=0,"",IF(AND(G46&gt;2,H46&gt;2),"Variable oculta y además latente: su peso real está muy infravalorado en la lectura directa. Prioridad máxima de seguimiento.",IF(G46&gt;2,"Variable oculta: gobierna el sistema a través de cadenas indirectas.",IF(H46&gt;2,"Variable latente: hoy es secundaria, pero ganará peso si las relaciones potenciales se materializan.",IF(AND(G46&lt;-2,H46&lt;-2),"Su importancia aparente en la lectura directa no se sostiene ni por vía indirecta ni potencial.","Comportamiento estable en las distintas clasificaciones.")))))</f>
        <v/>
      </c>
    </row>
    <row r="47" spans="1:12" x14ac:dyDescent="0.2">
      <c r="A47" s="21">
        <f>IF('_motor'!$B$627=0,"",'02 · Variables'!$B$48)</f>
        <v/>
      </c>
      <c r="B47" s="19">
        <f>IF('_motor'!$B$627=0,"",'02 · Variables'!$C$48)</f>
        <v/>
      </c>
      <c r="C47" s="22">
        <f>IF('_motor'!$B$627=0,"",SUMPRODUCT('_motor'!$B$586:$B$665*('_motor'!$C$586:$C$665&gt;'_motor'!$C$627))+(SUMPRODUCT('_motor'!$B$586:$B$665*('_motor'!$C$586:$C$665='_motor'!$C$627))+1)/2)</f>
        <v/>
      </c>
      <c r="D47" s="22">
        <f>IF('_motor'!$B$627=0,"",SUMPRODUCT('_motor'!$B$586:$B$665*('_motor'!$E$586:$E$665&gt;'_motor'!$E$627))+(SUMPRODUCT('_motor'!$B$586:$B$665*('_motor'!$E$586:$E$665='_motor'!$E$627))+1)/2)</f>
        <v/>
      </c>
      <c r="E47" s="22">
        <f>IF('_motor'!$B$627=0,"",SUMPRODUCT('_motor'!$B$586:$B$665*('_motor'!$G$586:$G$665&gt;'_motor'!$G$627))+(SUMPRODUCT('_motor'!$B$586:$B$665*('_motor'!$G$586:$G$665='_motor'!$G$627))+1)/2)</f>
        <v/>
      </c>
      <c r="F47" s="22">
        <f>IF('_motor'!$B$627=0,"",SUMPRODUCT('_motor'!$B$586:$B$665*('_motor'!$I$586:$I$665&gt;'_motor'!$I$627))+(SUMPRODUCT('_motor'!$B$586:$B$665*('_motor'!$I$586:$I$665='_motor'!$I$627))+1)/2)</f>
        <v/>
      </c>
      <c r="G47" s="22">
        <f>IF('_motor'!$B$627=0,"",C47-D47)</f>
        <v/>
      </c>
      <c r="H47" s="22">
        <f>IF('_motor'!$B$627=0,"",C47-E47)</f>
        <v/>
      </c>
      <c r="I47" s="19">
        <f>IF('_motor'!$B$627=0,"",IF(AND(ABS('_motor'!$C$627-'_motor'!$B$668)&lt;='_motor'!$B$676+0.000000001,ABS('_motor'!$D$627-'_motor'!$B$668)&lt;='_motor'!$B$676+0.000000001),"5 · Pelotón (no concluyente)",IF(AND('_motor'!$C$627&gt;='_motor'!$B$668,'_motor'!$D$627&lt;'_motor'!$B$668),"1 · Entrada / determinante",IF(AND('_motor'!$C$627&gt;='_motor'!$B$668,'_motor'!$D$627&gt;='_motor'!$B$668),"2 · Intermedia / de enlace",IF(AND('_motor'!$C$627&lt;'_motor'!$B$668,'_motor'!$D$627&gt;='_motor'!$B$668),"3 · Resultado","4 · Excluida / autónoma")))))</f>
        <v/>
      </c>
      <c r="J47" s="19">
        <f>IF('_motor'!$B$627=0,"",IF(AND(ABS('_motor'!$I$627-'_motor'!$B$671)&lt;='_motor'!$B$679+0.000000001,ABS('_motor'!$J$627-'_motor'!$B$671)&lt;='_motor'!$B$679+0.000000001),"5 · Pelotón (no concluyente)",IF(AND('_motor'!$I$627&gt;='_motor'!$B$671,'_motor'!$J$627&lt;'_motor'!$B$671),"1 · Entrada / determinante",IF(AND('_motor'!$I$627&gt;='_motor'!$B$671,'_motor'!$J$627&gt;='_motor'!$B$671),"2 · Intermedia / de enlace",IF(AND('_motor'!$I$627&lt;'_motor'!$B$671,'_motor'!$J$627&gt;='_motor'!$B$671),"3 · Resultado","4 · Excluida / autónoma")))))</f>
        <v/>
      </c>
      <c r="K47" s="22">
        <f>IF('_motor'!$B$627=0,"",IF(LEFT(I47,1)=LEFT(J47,1),"No","SÍ"))</f>
        <v/>
      </c>
      <c r="L47" s="19">
        <f>IF('_motor'!$B$627=0,"",IF(AND(G47&gt;2,H47&gt;2),"Variable oculta y además latente: su peso real está muy infravalorado en la lectura directa. Prioridad máxima de seguimiento.",IF(G47&gt;2,"Variable oculta: gobierna el sistema a través de cadenas indirectas.",IF(H47&gt;2,"Variable latente: hoy es secundaria, pero ganará peso si las relaciones potenciales se materializan.",IF(AND(G47&lt;-2,H47&lt;-2),"Su importancia aparente en la lectura directa no se sostiene ni por vía indirecta ni potencial.","Comportamiento estable en las distintas clasificaciones.")))))</f>
        <v/>
      </c>
    </row>
    <row r="48" spans="1:12" x14ac:dyDescent="0.2">
      <c r="A48" s="21">
        <f>IF('_motor'!$B$628=0,"",'02 · Variables'!$B$49)</f>
        <v/>
      </c>
      <c r="B48" s="19">
        <f>IF('_motor'!$B$628=0,"",'02 · Variables'!$C$49)</f>
        <v/>
      </c>
      <c r="C48" s="22">
        <f>IF('_motor'!$B$628=0,"",SUMPRODUCT('_motor'!$B$586:$B$665*('_motor'!$C$586:$C$665&gt;'_motor'!$C$628))+(SUMPRODUCT('_motor'!$B$586:$B$665*('_motor'!$C$586:$C$665='_motor'!$C$628))+1)/2)</f>
        <v/>
      </c>
      <c r="D48" s="22">
        <f>IF('_motor'!$B$628=0,"",SUMPRODUCT('_motor'!$B$586:$B$665*('_motor'!$E$586:$E$665&gt;'_motor'!$E$628))+(SUMPRODUCT('_motor'!$B$586:$B$665*('_motor'!$E$586:$E$665='_motor'!$E$628))+1)/2)</f>
        <v/>
      </c>
      <c r="E48" s="22">
        <f>IF('_motor'!$B$628=0,"",SUMPRODUCT('_motor'!$B$586:$B$665*('_motor'!$G$586:$G$665&gt;'_motor'!$G$628))+(SUMPRODUCT('_motor'!$B$586:$B$665*('_motor'!$G$586:$G$665='_motor'!$G$628))+1)/2)</f>
        <v/>
      </c>
      <c r="F48" s="22">
        <f>IF('_motor'!$B$628=0,"",SUMPRODUCT('_motor'!$B$586:$B$665*('_motor'!$I$586:$I$665&gt;'_motor'!$I$628))+(SUMPRODUCT('_motor'!$B$586:$B$665*('_motor'!$I$586:$I$665='_motor'!$I$628))+1)/2)</f>
        <v/>
      </c>
      <c r="G48" s="22">
        <f>IF('_motor'!$B$628=0,"",C48-D48)</f>
        <v/>
      </c>
      <c r="H48" s="22">
        <f>IF('_motor'!$B$628=0,"",C48-E48)</f>
        <v/>
      </c>
      <c r="I48" s="19">
        <f>IF('_motor'!$B$628=0,"",IF(AND(ABS('_motor'!$C$628-'_motor'!$B$668)&lt;='_motor'!$B$676+0.000000001,ABS('_motor'!$D$628-'_motor'!$B$668)&lt;='_motor'!$B$676+0.000000001),"5 · Pelotón (no concluyente)",IF(AND('_motor'!$C$628&gt;='_motor'!$B$668,'_motor'!$D$628&lt;'_motor'!$B$668),"1 · Entrada / determinante",IF(AND('_motor'!$C$628&gt;='_motor'!$B$668,'_motor'!$D$628&gt;='_motor'!$B$668),"2 · Intermedia / de enlace",IF(AND('_motor'!$C$628&lt;'_motor'!$B$668,'_motor'!$D$628&gt;='_motor'!$B$668),"3 · Resultado","4 · Excluida / autónoma")))))</f>
        <v/>
      </c>
      <c r="J48" s="19">
        <f>IF('_motor'!$B$628=0,"",IF(AND(ABS('_motor'!$I$628-'_motor'!$B$671)&lt;='_motor'!$B$679+0.000000001,ABS('_motor'!$J$628-'_motor'!$B$671)&lt;='_motor'!$B$679+0.000000001),"5 · Pelotón (no concluyente)",IF(AND('_motor'!$I$628&gt;='_motor'!$B$671,'_motor'!$J$628&lt;'_motor'!$B$671),"1 · Entrada / determinante",IF(AND('_motor'!$I$628&gt;='_motor'!$B$671,'_motor'!$J$628&gt;='_motor'!$B$671),"2 · Intermedia / de enlace",IF(AND('_motor'!$I$628&lt;'_motor'!$B$671,'_motor'!$J$628&gt;='_motor'!$B$671),"3 · Resultado","4 · Excluida / autónoma")))))</f>
        <v/>
      </c>
      <c r="K48" s="22">
        <f>IF('_motor'!$B$628=0,"",IF(LEFT(I48,1)=LEFT(J48,1),"No","SÍ"))</f>
        <v/>
      </c>
      <c r="L48" s="19">
        <f>IF('_motor'!$B$628=0,"",IF(AND(G48&gt;2,H48&gt;2),"Variable oculta y además latente: su peso real está muy infravalorado en la lectura directa. Prioridad máxima de seguimiento.",IF(G48&gt;2,"Variable oculta: gobierna el sistema a través de cadenas indirectas.",IF(H48&gt;2,"Variable latente: hoy es secundaria, pero ganará peso si las relaciones potenciales se materializan.",IF(AND(G48&lt;-2,H48&lt;-2),"Su importancia aparente en la lectura directa no se sostiene ni por vía indirecta ni potencial.","Comportamiento estable en las distintas clasificaciones.")))))</f>
        <v/>
      </c>
    </row>
    <row r="49" spans="1:12" x14ac:dyDescent="0.2">
      <c r="A49" s="21">
        <f>IF('_motor'!$B$629=0,"",'02 · Variables'!$B$50)</f>
        <v/>
      </c>
      <c r="B49" s="19">
        <f>IF('_motor'!$B$629=0,"",'02 · Variables'!$C$50)</f>
        <v/>
      </c>
      <c r="C49" s="22">
        <f>IF('_motor'!$B$629=0,"",SUMPRODUCT('_motor'!$B$586:$B$665*('_motor'!$C$586:$C$665&gt;'_motor'!$C$629))+(SUMPRODUCT('_motor'!$B$586:$B$665*('_motor'!$C$586:$C$665='_motor'!$C$629))+1)/2)</f>
        <v/>
      </c>
      <c r="D49" s="22">
        <f>IF('_motor'!$B$629=0,"",SUMPRODUCT('_motor'!$B$586:$B$665*('_motor'!$E$586:$E$665&gt;'_motor'!$E$629))+(SUMPRODUCT('_motor'!$B$586:$B$665*('_motor'!$E$586:$E$665='_motor'!$E$629))+1)/2)</f>
        <v/>
      </c>
      <c r="E49" s="22">
        <f>IF('_motor'!$B$629=0,"",SUMPRODUCT('_motor'!$B$586:$B$665*('_motor'!$G$586:$G$665&gt;'_motor'!$G$629))+(SUMPRODUCT('_motor'!$B$586:$B$665*('_motor'!$G$586:$G$665='_motor'!$G$629))+1)/2)</f>
        <v/>
      </c>
      <c r="F49" s="22">
        <f>IF('_motor'!$B$629=0,"",SUMPRODUCT('_motor'!$B$586:$B$665*('_motor'!$I$586:$I$665&gt;'_motor'!$I$629))+(SUMPRODUCT('_motor'!$B$586:$B$665*('_motor'!$I$586:$I$665='_motor'!$I$629))+1)/2)</f>
        <v/>
      </c>
      <c r="G49" s="22">
        <f>IF('_motor'!$B$629=0,"",C49-D49)</f>
        <v/>
      </c>
      <c r="H49" s="22">
        <f>IF('_motor'!$B$629=0,"",C49-E49)</f>
        <v/>
      </c>
      <c r="I49" s="19">
        <f>IF('_motor'!$B$629=0,"",IF(AND(ABS('_motor'!$C$629-'_motor'!$B$668)&lt;='_motor'!$B$676+0.000000001,ABS('_motor'!$D$629-'_motor'!$B$668)&lt;='_motor'!$B$676+0.000000001),"5 · Pelotón (no concluyente)",IF(AND('_motor'!$C$629&gt;='_motor'!$B$668,'_motor'!$D$629&lt;'_motor'!$B$668),"1 · Entrada / determinante",IF(AND('_motor'!$C$629&gt;='_motor'!$B$668,'_motor'!$D$629&gt;='_motor'!$B$668),"2 · Intermedia / de enlace",IF(AND('_motor'!$C$629&lt;'_motor'!$B$668,'_motor'!$D$629&gt;='_motor'!$B$668),"3 · Resultado","4 · Excluida / autónoma")))))</f>
        <v/>
      </c>
      <c r="J49" s="19">
        <f>IF('_motor'!$B$629=0,"",IF(AND(ABS('_motor'!$I$629-'_motor'!$B$671)&lt;='_motor'!$B$679+0.000000001,ABS('_motor'!$J$629-'_motor'!$B$671)&lt;='_motor'!$B$679+0.000000001),"5 · Pelotón (no concluyente)",IF(AND('_motor'!$I$629&gt;='_motor'!$B$671,'_motor'!$J$629&lt;'_motor'!$B$671),"1 · Entrada / determinante",IF(AND('_motor'!$I$629&gt;='_motor'!$B$671,'_motor'!$J$629&gt;='_motor'!$B$671),"2 · Intermedia / de enlace",IF(AND('_motor'!$I$629&lt;'_motor'!$B$671,'_motor'!$J$629&gt;='_motor'!$B$671),"3 · Resultado","4 · Excluida / autónoma")))))</f>
        <v/>
      </c>
      <c r="K49" s="22">
        <f>IF('_motor'!$B$629=0,"",IF(LEFT(I49,1)=LEFT(J49,1),"No","SÍ"))</f>
        <v/>
      </c>
      <c r="L49" s="19">
        <f>IF('_motor'!$B$629=0,"",IF(AND(G49&gt;2,H49&gt;2),"Variable oculta y además latente: su peso real está muy infravalorado en la lectura directa. Prioridad máxima de seguimiento.",IF(G49&gt;2,"Variable oculta: gobierna el sistema a través de cadenas indirectas.",IF(H49&gt;2,"Variable latente: hoy es secundaria, pero ganará peso si las relaciones potenciales se materializan.",IF(AND(G49&lt;-2,H49&lt;-2),"Su importancia aparente en la lectura directa no se sostiene ni por vía indirecta ni potencial.","Comportamiento estable en las distintas clasificaciones.")))))</f>
        <v/>
      </c>
    </row>
    <row r="50" spans="1:12" x14ac:dyDescent="0.2">
      <c r="A50" s="21">
        <f>IF('_motor'!$B$630=0,"",'02 · Variables'!$B$51)</f>
        <v/>
      </c>
      <c r="B50" s="19">
        <f>IF('_motor'!$B$630=0,"",'02 · Variables'!$C$51)</f>
        <v/>
      </c>
      <c r="C50" s="22">
        <f>IF('_motor'!$B$630=0,"",SUMPRODUCT('_motor'!$B$586:$B$665*('_motor'!$C$586:$C$665&gt;'_motor'!$C$630))+(SUMPRODUCT('_motor'!$B$586:$B$665*('_motor'!$C$586:$C$665='_motor'!$C$630))+1)/2)</f>
        <v/>
      </c>
      <c r="D50" s="22">
        <f>IF('_motor'!$B$630=0,"",SUMPRODUCT('_motor'!$B$586:$B$665*('_motor'!$E$586:$E$665&gt;'_motor'!$E$630))+(SUMPRODUCT('_motor'!$B$586:$B$665*('_motor'!$E$586:$E$665='_motor'!$E$630))+1)/2)</f>
        <v/>
      </c>
      <c r="E50" s="22">
        <f>IF('_motor'!$B$630=0,"",SUMPRODUCT('_motor'!$B$586:$B$665*('_motor'!$G$586:$G$665&gt;'_motor'!$G$630))+(SUMPRODUCT('_motor'!$B$586:$B$665*('_motor'!$G$586:$G$665='_motor'!$G$630))+1)/2)</f>
        <v/>
      </c>
      <c r="F50" s="22">
        <f>IF('_motor'!$B$630=0,"",SUMPRODUCT('_motor'!$B$586:$B$665*('_motor'!$I$586:$I$665&gt;'_motor'!$I$630))+(SUMPRODUCT('_motor'!$B$586:$B$665*('_motor'!$I$586:$I$665='_motor'!$I$630))+1)/2)</f>
        <v/>
      </c>
      <c r="G50" s="22">
        <f>IF('_motor'!$B$630=0,"",C50-D50)</f>
        <v/>
      </c>
      <c r="H50" s="22">
        <f>IF('_motor'!$B$630=0,"",C50-E50)</f>
        <v/>
      </c>
      <c r="I50" s="19">
        <f>IF('_motor'!$B$630=0,"",IF(AND(ABS('_motor'!$C$630-'_motor'!$B$668)&lt;='_motor'!$B$676+0.000000001,ABS('_motor'!$D$630-'_motor'!$B$668)&lt;='_motor'!$B$676+0.000000001),"5 · Pelotón (no concluyente)",IF(AND('_motor'!$C$630&gt;='_motor'!$B$668,'_motor'!$D$630&lt;'_motor'!$B$668),"1 · Entrada / determinante",IF(AND('_motor'!$C$630&gt;='_motor'!$B$668,'_motor'!$D$630&gt;='_motor'!$B$668),"2 · Intermedia / de enlace",IF(AND('_motor'!$C$630&lt;'_motor'!$B$668,'_motor'!$D$630&gt;='_motor'!$B$668),"3 · Resultado","4 · Excluida / autónoma")))))</f>
        <v/>
      </c>
      <c r="J50" s="19">
        <f>IF('_motor'!$B$630=0,"",IF(AND(ABS('_motor'!$I$630-'_motor'!$B$671)&lt;='_motor'!$B$679+0.000000001,ABS('_motor'!$J$630-'_motor'!$B$671)&lt;='_motor'!$B$679+0.000000001),"5 · Pelotón (no concluyente)",IF(AND('_motor'!$I$630&gt;='_motor'!$B$671,'_motor'!$J$630&lt;'_motor'!$B$671),"1 · Entrada / determinante",IF(AND('_motor'!$I$630&gt;='_motor'!$B$671,'_motor'!$J$630&gt;='_motor'!$B$671),"2 · Intermedia / de enlace",IF(AND('_motor'!$I$630&lt;'_motor'!$B$671,'_motor'!$J$630&gt;='_motor'!$B$671),"3 · Resultado","4 · Excluida / autónoma")))))</f>
        <v/>
      </c>
      <c r="K50" s="22">
        <f>IF('_motor'!$B$630=0,"",IF(LEFT(I50,1)=LEFT(J50,1),"No","SÍ"))</f>
        <v/>
      </c>
      <c r="L50" s="19">
        <f>IF('_motor'!$B$630=0,"",IF(AND(G50&gt;2,H50&gt;2),"Variable oculta y además latente: su peso real está muy infravalorado en la lectura directa. Prioridad máxima de seguimiento.",IF(G50&gt;2,"Variable oculta: gobierna el sistema a través de cadenas indirectas.",IF(H50&gt;2,"Variable latente: hoy es secundaria, pero ganará peso si las relaciones potenciales se materializan.",IF(AND(G50&lt;-2,H50&lt;-2),"Su importancia aparente en la lectura directa no se sostiene ni por vía indirecta ni potencial.","Comportamiento estable en las distintas clasificaciones.")))))</f>
        <v/>
      </c>
    </row>
    <row r="51" spans="1:12" x14ac:dyDescent="0.2">
      <c r="A51" s="21">
        <f>IF('_motor'!$B$631=0,"",'02 · Variables'!$B$52)</f>
        <v/>
      </c>
      <c r="B51" s="19">
        <f>IF('_motor'!$B$631=0,"",'02 · Variables'!$C$52)</f>
        <v/>
      </c>
      <c r="C51" s="22">
        <f>IF('_motor'!$B$631=0,"",SUMPRODUCT('_motor'!$B$586:$B$665*('_motor'!$C$586:$C$665&gt;'_motor'!$C$631))+(SUMPRODUCT('_motor'!$B$586:$B$665*('_motor'!$C$586:$C$665='_motor'!$C$631))+1)/2)</f>
        <v/>
      </c>
      <c r="D51" s="22">
        <f>IF('_motor'!$B$631=0,"",SUMPRODUCT('_motor'!$B$586:$B$665*('_motor'!$E$586:$E$665&gt;'_motor'!$E$631))+(SUMPRODUCT('_motor'!$B$586:$B$665*('_motor'!$E$586:$E$665='_motor'!$E$631))+1)/2)</f>
        <v/>
      </c>
      <c r="E51" s="22">
        <f>IF('_motor'!$B$631=0,"",SUMPRODUCT('_motor'!$B$586:$B$665*('_motor'!$G$586:$G$665&gt;'_motor'!$G$631))+(SUMPRODUCT('_motor'!$B$586:$B$665*('_motor'!$G$586:$G$665='_motor'!$G$631))+1)/2)</f>
        <v/>
      </c>
      <c r="F51" s="22">
        <f>IF('_motor'!$B$631=0,"",SUMPRODUCT('_motor'!$B$586:$B$665*('_motor'!$I$586:$I$665&gt;'_motor'!$I$631))+(SUMPRODUCT('_motor'!$B$586:$B$665*('_motor'!$I$586:$I$665='_motor'!$I$631))+1)/2)</f>
        <v/>
      </c>
      <c r="G51" s="22">
        <f>IF('_motor'!$B$631=0,"",C51-D51)</f>
        <v/>
      </c>
      <c r="H51" s="22">
        <f>IF('_motor'!$B$631=0,"",C51-E51)</f>
        <v/>
      </c>
      <c r="I51" s="19">
        <f>IF('_motor'!$B$631=0,"",IF(AND(ABS('_motor'!$C$631-'_motor'!$B$668)&lt;='_motor'!$B$676+0.000000001,ABS('_motor'!$D$631-'_motor'!$B$668)&lt;='_motor'!$B$676+0.000000001),"5 · Pelotón (no concluyente)",IF(AND('_motor'!$C$631&gt;='_motor'!$B$668,'_motor'!$D$631&lt;'_motor'!$B$668),"1 · Entrada / determinante",IF(AND('_motor'!$C$631&gt;='_motor'!$B$668,'_motor'!$D$631&gt;='_motor'!$B$668),"2 · Intermedia / de enlace",IF(AND('_motor'!$C$631&lt;'_motor'!$B$668,'_motor'!$D$631&gt;='_motor'!$B$668),"3 · Resultado","4 · Excluida / autónoma")))))</f>
        <v/>
      </c>
      <c r="J51" s="19">
        <f>IF('_motor'!$B$631=0,"",IF(AND(ABS('_motor'!$I$631-'_motor'!$B$671)&lt;='_motor'!$B$679+0.000000001,ABS('_motor'!$J$631-'_motor'!$B$671)&lt;='_motor'!$B$679+0.000000001),"5 · Pelotón (no concluyente)",IF(AND('_motor'!$I$631&gt;='_motor'!$B$671,'_motor'!$J$631&lt;'_motor'!$B$671),"1 · Entrada / determinante",IF(AND('_motor'!$I$631&gt;='_motor'!$B$671,'_motor'!$J$631&gt;='_motor'!$B$671),"2 · Intermedia / de enlace",IF(AND('_motor'!$I$631&lt;'_motor'!$B$671,'_motor'!$J$631&gt;='_motor'!$B$671),"3 · Resultado","4 · Excluida / autónoma")))))</f>
        <v/>
      </c>
      <c r="K51" s="22">
        <f>IF('_motor'!$B$631=0,"",IF(LEFT(I51,1)=LEFT(J51,1),"No","SÍ"))</f>
        <v/>
      </c>
      <c r="L51" s="19">
        <f>IF('_motor'!$B$631=0,"",IF(AND(G51&gt;2,H51&gt;2),"Variable oculta y además latente: su peso real está muy infravalorado en la lectura directa. Prioridad máxima de seguimiento.",IF(G51&gt;2,"Variable oculta: gobierna el sistema a través de cadenas indirectas.",IF(H51&gt;2,"Variable latente: hoy es secundaria, pero ganará peso si las relaciones potenciales se materializan.",IF(AND(G51&lt;-2,H51&lt;-2),"Su importancia aparente en la lectura directa no se sostiene ni por vía indirecta ni potencial.","Comportamiento estable en las distintas clasificaciones.")))))</f>
        <v/>
      </c>
    </row>
    <row r="52" spans="1:12" x14ac:dyDescent="0.2">
      <c r="A52" s="21">
        <f>IF('_motor'!$B$632=0,"",'02 · Variables'!$B$53)</f>
        <v/>
      </c>
      <c r="B52" s="19">
        <f>IF('_motor'!$B$632=0,"",'02 · Variables'!$C$53)</f>
        <v/>
      </c>
      <c r="C52" s="22">
        <f>IF('_motor'!$B$632=0,"",SUMPRODUCT('_motor'!$B$586:$B$665*('_motor'!$C$586:$C$665&gt;'_motor'!$C$632))+(SUMPRODUCT('_motor'!$B$586:$B$665*('_motor'!$C$586:$C$665='_motor'!$C$632))+1)/2)</f>
        <v/>
      </c>
      <c r="D52" s="22">
        <f>IF('_motor'!$B$632=0,"",SUMPRODUCT('_motor'!$B$586:$B$665*('_motor'!$E$586:$E$665&gt;'_motor'!$E$632))+(SUMPRODUCT('_motor'!$B$586:$B$665*('_motor'!$E$586:$E$665='_motor'!$E$632))+1)/2)</f>
        <v/>
      </c>
      <c r="E52" s="22">
        <f>IF('_motor'!$B$632=0,"",SUMPRODUCT('_motor'!$B$586:$B$665*('_motor'!$G$586:$G$665&gt;'_motor'!$G$632))+(SUMPRODUCT('_motor'!$B$586:$B$665*('_motor'!$G$586:$G$665='_motor'!$G$632))+1)/2)</f>
        <v/>
      </c>
      <c r="F52" s="22">
        <f>IF('_motor'!$B$632=0,"",SUMPRODUCT('_motor'!$B$586:$B$665*('_motor'!$I$586:$I$665&gt;'_motor'!$I$632))+(SUMPRODUCT('_motor'!$B$586:$B$665*('_motor'!$I$586:$I$665='_motor'!$I$632))+1)/2)</f>
        <v/>
      </c>
      <c r="G52" s="22">
        <f>IF('_motor'!$B$632=0,"",C52-D52)</f>
        <v/>
      </c>
      <c r="H52" s="22">
        <f>IF('_motor'!$B$632=0,"",C52-E52)</f>
        <v/>
      </c>
      <c r="I52" s="19">
        <f>IF('_motor'!$B$632=0,"",IF(AND(ABS('_motor'!$C$632-'_motor'!$B$668)&lt;='_motor'!$B$676+0.000000001,ABS('_motor'!$D$632-'_motor'!$B$668)&lt;='_motor'!$B$676+0.000000001),"5 · Pelotón (no concluyente)",IF(AND('_motor'!$C$632&gt;='_motor'!$B$668,'_motor'!$D$632&lt;'_motor'!$B$668),"1 · Entrada / determinante",IF(AND('_motor'!$C$632&gt;='_motor'!$B$668,'_motor'!$D$632&gt;='_motor'!$B$668),"2 · Intermedia / de enlace",IF(AND('_motor'!$C$632&lt;'_motor'!$B$668,'_motor'!$D$632&gt;='_motor'!$B$668),"3 · Resultado","4 · Excluida / autónoma")))))</f>
        <v/>
      </c>
      <c r="J52" s="19">
        <f>IF('_motor'!$B$632=0,"",IF(AND(ABS('_motor'!$I$632-'_motor'!$B$671)&lt;='_motor'!$B$679+0.000000001,ABS('_motor'!$J$632-'_motor'!$B$671)&lt;='_motor'!$B$679+0.000000001),"5 · Pelotón (no concluyente)",IF(AND('_motor'!$I$632&gt;='_motor'!$B$671,'_motor'!$J$632&lt;'_motor'!$B$671),"1 · Entrada / determinante",IF(AND('_motor'!$I$632&gt;='_motor'!$B$671,'_motor'!$J$632&gt;='_motor'!$B$671),"2 · Intermedia / de enlace",IF(AND('_motor'!$I$632&lt;'_motor'!$B$671,'_motor'!$J$632&gt;='_motor'!$B$671),"3 · Resultado","4 · Excluida / autónoma")))))</f>
        <v/>
      </c>
      <c r="K52" s="22">
        <f>IF('_motor'!$B$632=0,"",IF(LEFT(I52,1)=LEFT(J52,1),"No","SÍ"))</f>
        <v/>
      </c>
      <c r="L52" s="19">
        <f>IF('_motor'!$B$632=0,"",IF(AND(G52&gt;2,H52&gt;2),"Variable oculta y además latente: su peso real está muy infravalorado en la lectura directa. Prioridad máxima de seguimiento.",IF(G52&gt;2,"Variable oculta: gobierna el sistema a través de cadenas indirectas.",IF(H52&gt;2,"Variable latente: hoy es secundaria, pero ganará peso si las relaciones potenciales se materializan.",IF(AND(G52&lt;-2,H52&lt;-2),"Su importancia aparente en la lectura directa no se sostiene ni por vía indirecta ni potencial.","Comportamiento estable en las distintas clasificaciones.")))))</f>
        <v/>
      </c>
    </row>
    <row r="53" spans="1:12" x14ac:dyDescent="0.2">
      <c r="A53" s="21">
        <f>IF('_motor'!$B$633=0,"",'02 · Variables'!$B$54)</f>
        <v/>
      </c>
      <c r="B53" s="19">
        <f>IF('_motor'!$B$633=0,"",'02 · Variables'!$C$54)</f>
        <v/>
      </c>
      <c r="C53" s="22">
        <f>IF('_motor'!$B$633=0,"",SUMPRODUCT('_motor'!$B$586:$B$665*('_motor'!$C$586:$C$665&gt;'_motor'!$C$633))+(SUMPRODUCT('_motor'!$B$586:$B$665*('_motor'!$C$586:$C$665='_motor'!$C$633))+1)/2)</f>
        <v/>
      </c>
      <c r="D53" s="22">
        <f>IF('_motor'!$B$633=0,"",SUMPRODUCT('_motor'!$B$586:$B$665*('_motor'!$E$586:$E$665&gt;'_motor'!$E$633))+(SUMPRODUCT('_motor'!$B$586:$B$665*('_motor'!$E$586:$E$665='_motor'!$E$633))+1)/2)</f>
        <v/>
      </c>
      <c r="E53" s="22">
        <f>IF('_motor'!$B$633=0,"",SUMPRODUCT('_motor'!$B$586:$B$665*('_motor'!$G$586:$G$665&gt;'_motor'!$G$633))+(SUMPRODUCT('_motor'!$B$586:$B$665*('_motor'!$G$586:$G$665='_motor'!$G$633))+1)/2)</f>
        <v/>
      </c>
      <c r="F53" s="22">
        <f>IF('_motor'!$B$633=0,"",SUMPRODUCT('_motor'!$B$586:$B$665*('_motor'!$I$586:$I$665&gt;'_motor'!$I$633))+(SUMPRODUCT('_motor'!$B$586:$B$665*('_motor'!$I$586:$I$665='_motor'!$I$633))+1)/2)</f>
        <v/>
      </c>
      <c r="G53" s="22">
        <f>IF('_motor'!$B$633=0,"",C53-D53)</f>
        <v/>
      </c>
      <c r="H53" s="22">
        <f>IF('_motor'!$B$633=0,"",C53-E53)</f>
        <v/>
      </c>
      <c r="I53" s="19">
        <f>IF('_motor'!$B$633=0,"",IF(AND(ABS('_motor'!$C$633-'_motor'!$B$668)&lt;='_motor'!$B$676+0.000000001,ABS('_motor'!$D$633-'_motor'!$B$668)&lt;='_motor'!$B$676+0.000000001),"5 · Pelotón (no concluyente)",IF(AND('_motor'!$C$633&gt;='_motor'!$B$668,'_motor'!$D$633&lt;'_motor'!$B$668),"1 · Entrada / determinante",IF(AND('_motor'!$C$633&gt;='_motor'!$B$668,'_motor'!$D$633&gt;='_motor'!$B$668),"2 · Intermedia / de enlace",IF(AND('_motor'!$C$633&lt;'_motor'!$B$668,'_motor'!$D$633&gt;='_motor'!$B$668),"3 · Resultado","4 · Excluida / autónoma")))))</f>
        <v/>
      </c>
      <c r="J53" s="19">
        <f>IF('_motor'!$B$633=0,"",IF(AND(ABS('_motor'!$I$633-'_motor'!$B$671)&lt;='_motor'!$B$679+0.000000001,ABS('_motor'!$J$633-'_motor'!$B$671)&lt;='_motor'!$B$679+0.000000001),"5 · Pelotón (no concluyente)",IF(AND('_motor'!$I$633&gt;='_motor'!$B$671,'_motor'!$J$633&lt;'_motor'!$B$671),"1 · Entrada / determinante",IF(AND('_motor'!$I$633&gt;='_motor'!$B$671,'_motor'!$J$633&gt;='_motor'!$B$671),"2 · Intermedia / de enlace",IF(AND('_motor'!$I$633&lt;'_motor'!$B$671,'_motor'!$J$633&gt;='_motor'!$B$671),"3 · Resultado","4 · Excluida / autónoma")))))</f>
        <v/>
      </c>
      <c r="K53" s="22">
        <f>IF('_motor'!$B$633=0,"",IF(LEFT(I53,1)=LEFT(J53,1),"No","SÍ"))</f>
        <v/>
      </c>
      <c r="L53" s="19">
        <f>IF('_motor'!$B$633=0,"",IF(AND(G53&gt;2,H53&gt;2),"Variable oculta y además latente: su peso real está muy infravalorado en la lectura directa. Prioridad máxima de seguimiento.",IF(G53&gt;2,"Variable oculta: gobierna el sistema a través de cadenas indirectas.",IF(H53&gt;2,"Variable latente: hoy es secundaria, pero ganará peso si las relaciones potenciales se materializan.",IF(AND(G53&lt;-2,H53&lt;-2),"Su importancia aparente en la lectura directa no se sostiene ni por vía indirecta ni potencial.","Comportamiento estable en las distintas clasificaciones.")))))</f>
        <v/>
      </c>
    </row>
    <row r="54" spans="1:12" x14ac:dyDescent="0.2">
      <c r="A54" s="21">
        <f>IF('_motor'!$B$634=0,"",'02 · Variables'!$B$55)</f>
        <v/>
      </c>
      <c r="B54" s="19">
        <f>IF('_motor'!$B$634=0,"",'02 · Variables'!$C$55)</f>
        <v/>
      </c>
      <c r="C54" s="22">
        <f>IF('_motor'!$B$634=0,"",SUMPRODUCT('_motor'!$B$586:$B$665*('_motor'!$C$586:$C$665&gt;'_motor'!$C$634))+(SUMPRODUCT('_motor'!$B$586:$B$665*('_motor'!$C$586:$C$665='_motor'!$C$634))+1)/2)</f>
        <v/>
      </c>
      <c r="D54" s="22">
        <f>IF('_motor'!$B$634=0,"",SUMPRODUCT('_motor'!$B$586:$B$665*('_motor'!$E$586:$E$665&gt;'_motor'!$E$634))+(SUMPRODUCT('_motor'!$B$586:$B$665*('_motor'!$E$586:$E$665='_motor'!$E$634))+1)/2)</f>
        <v/>
      </c>
      <c r="E54" s="22">
        <f>IF('_motor'!$B$634=0,"",SUMPRODUCT('_motor'!$B$586:$B$665*('_motor'!$G$586:$G$665&gt;'_motor'!$G$634))+(SUMPRODUCT('_motor'!$B$586:$B$665*('_motor'!$G$586:$G$665='_motor'!$G$634))+1)/2)</f>
        <v/>
      </c>
      <c r="F54" s="22">
        <f>IF('_motor'!$B$634=0,"",SUMPRODUCT('_motor'!$B$586:$B$665*('_motor'!$I$586:$I$665&gt;'_motor'!$I$634))+(SUMPRODUCT('_motor'!$B$586:$B$665*('_motor'!$I$586:$I$665='_motor'!$I$634))+1)/2)</f>
        <v/>
      </c>
      <c r="G54" s="22">
        <f>IF('_motor'!$B$634=0,"",C54-D54)</f>
        <v/>
      </c>
      <c r="H54" s="22">
        <f>IF('_motor'!$B$634=0,"",C54-E54)</f>
        <v/>
      </c>
      <c r="I54" s="19">
        <f>IF('_motor'!$B$634=0,"",IF(AND(ABS('_motor'!$C$634-'_motor'!$B$668)&lt;='_motor'!$B$676+0.000000001,ABS('_motor'!$D$634-'_motor'!$B$668)&lt;='_motor'!$B$676+0.000000001),"5 · Pelotón (no concluyente)",IF(AND('_motor'!$C$634&gt;='_motor'!$B$668,'_motor'!$D$634&lt;'_motor'!$B$668),"1 · Entrada / determinante",IF(AND('_motor'!$C$634&gt;='_motor'!$B$668,'_motor'!$D$634&gt;='_motor'!$B$668),"2 · Intermedia / de enlace",IF(AND('_motor'!$C$634&lt;'_motor'!$B$668,'_motor'!$D$634&gt;='_motor'!$B$668),"3 · Resultado","4 · Excluida / autónoma")))))</f>
        <v/>
      </c>
      <c r="J54" s="19">
        <f>IF('_motor'!$B$634=0,"",IF(AND(ABS('_motor'!$I$634-'_motor'!$B$671)&lt;='_motor'!$B$679+0.000000001,ABS('_motor'!$J$634-'_motor'!$B$671)&lt;='_motor'!$B$679+0.000000001),"5 · Pelotón (no concluyente)",IF(AND('_motor'!$I$634&gt;='_motor'!$B$671,'_motor'!$J$634&lt;'_motor'!$B$671),"1 · Entrada / determinante",IF(AND('_motor'!$I$634&gt;='_motor'!$B$671,'_motor'!$J$634&gt;='_motor'!$B$671),"2 · Intermedia / de enlace",IF(AND('_motor'!$I$634&lt;'_motor'!$B$671,'_motor'!$J$634&gt;='_motor'!$B$671),"3 · Resultado","4 · Excluida / autónoma")))))</f>
        <v/>
      </c>
      <c r="K54" s="22">
        <f>IF('_motor'!$B$634=0,"",IF(LEFT(I54,1)=LEFT(J54,1),"No","SÍ"))</f>
        <v/>
      </c>
      <c r="L54" s="19">
        <f>IF('_motor'!$B$634=0,"",IF(AND(G54&gt;2,H54&gt;2),"Variable oculta y además latente: su peso real está muy infravalorado en la lectura directa. Prioridad máxima de seguimiento.",IF(G54&gt;2,"Variable oculta: gobierna el sistema a través de cadenas indirectas.",IF(H54&gt;2,"Variable latente: hoy es secundaria, pero ganará peso si las relaciones potenciales se materializan.",IF(AND(G54&lt;-2,H54&lt;-2),"Su importancia aparente en la lectura directa no se sostiene ni por vía indirecta ni potencial.","Comportamiento estable en las distintas clasificaciones.")))))</f>
        <v/>
      </c>
    </row>
    <row r="55" spans="1:12" x14ac:dyDescent="0.2">
      <c r="A55" s="21">
        <f>IF('_motor'!$B$635=0,"",'02 · Variables'!$B$56)</f>
        <v/>
      </c>
      <c r="B55" s="19">
        <f>IF('_motor'!$B$635=0,"",'02 · Variables'!$C$56)</f>
        <v/>
      </c>
      <c r="C55" s="22">
        <f>IF('_motor'!$B$635=0,"",SUMPRODUCT('_motor'!$B$586:$B$665*('_motor'!$C$586:$C$665&gt;'_motor'!$C$635))+(SUMPRODUCT('_motor'!$B$586:$B$665*('_motor'!$C$586:$C$665='_motor'!$C$635))+1)/2)</f>
        <v/>
      </c>
      <c r="D55" s="22">
        <f>IF('_motor'!$B$635=0,"",SUMPRODUCT('_motor'!$B$586:$B$665*('_motor'!$E$586:$E$665&gt;'_motor'!$E$635))+(SUMPRODUCT('_motor'!$B$586:$B$665*('_motor'!$E$586:$E$665='_motor'!$E$635))+1)/2)</f>
        <v/>
      </c>
      <c r="E55" s="22">
        <f>IF('_motor'!$B$635=0,"",SUMPRODUCT('_motor'!$B$586:$B$665*('_motor'!$G$586:$G$665&gt;'_motor'!$G$635))+(SUMPRODUCT('_motor'!$B$586:$B$665*('_motor'!$G$586:$G$665='_motor'!$G$635))+1)/2)</f>
        <v/>
      </c>
      <c r="F55" s="22">
        <f>IF('_motor'!$B$635=0,"",SUMPRODUCT('_motor'!$B$586:$B$665*('_motor'!$I$586:$I$665&gt;'_motor'!$I$635))+(SUMPRODUCT('_motor'!$B$586:$B$665*('_motor'!$I$586:$I$665='_motor'!$I$635))+1)/2)</f>
        <v/>
      </c>
      <c r="G55" s="22">
        <f>IF('_motor'!$B$635=0,"",C55-D55)</f>
        <v/>
      </c>
      <c r="H55" s="22">
        <f>IF('_motor'!$B$635=0,"",C55-E55)</f>
        <v/>
      </c>
      <c r="I55" s="19">
        <f>IF('_motor'!$B$635=0,"",IF(AND(ABS('_motor'!$C$635-'_motor'!$B$668)&lt;='_motor'!$B$676+0.000000001,ABS('_motor'!$D$635-'_motor'!$B$668)&lt;='_motor'!$B$676+0.000000001),"5 · Pelotón (no concluyente)",IF(AND('_motor'!$C$635&gt;='_motor'!$B$668,'_motor'!$D$635&lt;'_motor'!$B$668),"1 · Entrada / determinante",IF(AND('_motor'!$C$635&gt;='_motor'!$B$668,'_motor'!$D$635&gt;='_motor'!$B$668),"2 · Intermedia / de enlace",IF(AND('_motor'!$C$635&lt;'_motor'!$B$668,'_motor'!$D$635&gt;='_motor'!$B$668),"3 · Resultado","4 · Excluida / autónoma")))))</f>
        <v/>
      </c>
      <c r="J55" s="19">
        <f>IF('_motor'!$B$635=0,"",IF(AND(ABS('_motor'!$I$635-'_motor'!$B$671)&lt;='_motor'!$B$679+0.000000001,ABS('_motor'!$J$635-'_motor'!$B$671)&lt;='_motor'!$B$679+0.000000001),"5 · Pelotón (no concluyente)",IF(AND('_motor'!$I$635&gt;='_motor'!$B$671,'_motor'!$J$635&lt;'_motor'!$B$671),"1 · Entrada / determinante",IF(AND('_motor'!$I$635&gt;='_motor'!$B$671,'_motor'!$J$635&gt;='_motor'!$B$671),"2 · Intermedia / de enlace",IF(AND('_motor'!$I$635&lt;'_motor'!$B$671,'_motor'!$J$635&gt;='_motor'!$B$671),"3 · Resultado","4 · Excluida / autónoma")))))</f>
        <v/>
      </c>
      <c r="K55" s="22">
        <f>IF('_motor'!$B$635=0,"",IF(LEFT(I55,1)=LEFT(J55,1),"No","SÍ"))</f>
        <v/>
      </c>
      <c r="L55" s="19">
        <f>IF('_motor'!$B$635=0,"",IF(AND(G55&gt;2,H55&gt;2),"Variable oculta y además latente: su peso real está muy infravalorado en la lectura directa. Prioridad máxima de seguimiento.",IF(G55&gt;2,"Variable oculta: gobierna el sistema a través de cadenas indirectas.",IF(H55&gt;2,"Variable latente: hoy es secundaria, pero ganará peso si las relaciones potenciales se materializan.",IF(AND(G55&lt;-2,H55&lt;-2),"Su importancia aparente en la lectura directa no se sostiene ni por vía indirecta ni potencial.","Comportamiento estable en las distintas clasificaciones.")))))</f>
        <v/>
      </c>
    </row>
    <row r="56" spans="1:12" x14ac:dyDescent="0.2">
      <c r="A56" s="21">
        <f>IF('_motor'!$B$636=0,"",'02 · Variables'!$B$57)</f>
        <v/>
      </c>
      <c r="B56" s="19">
        <f>IF('_motor'!$B$636=0,"",'02 · Variables'!$C$57)</f>
        <v/>
      </c>
      <c r="C56" s="22">
        <f>IF('_motor'!$B$636=0,"",SUMPRODUCT('_motor'!$B$586:$B$665*('_motor'!$C$586:$C$665&gt;'_motor'!$C$636))+(SUMPRODUCT('_motor'!$B$586:$B$665*('_motor'!$C$586:$C$665='_motor'!$C$636))+1)/2)</f>
        <v/>
      </c>
      <c r="D56" s="22">
        <f>IF('_motor'!$B$636=0,"",SUMPRODUCT('_motor'!$B$586:$B$665*('_motor'!$E$586:$E$665&gt;'_motor'!$E$636))+(SUMPRODUCT('_motor'!$B$586:$B$665*('_motor'!$E$586:$E$665='_motor'!$E$636))+1)/2)</f>
        <v/>
      </c>
      <c r="E56" s="22">
        <f>IF('_motor'!$B$636=0,"",SUMPRODUCT('_motor'!$B$586:$B$665*('_motor'!$G$586:$G$665&gt;'_motor'!$G$636))+(SUMPRODUCT('_motor'!$B$586:$B$665*('_motor'!$G$586:$G$665='_motor'!$G$636))+1)/2)</f>
        <v/>
      </c>
      <c r="F56" s="22">
        <f>IF('_motor'!$B$636=0,"",SUMPRODUCT('_motor'!$B$586:$B$665*('_motor'!$I$586:$I$665&gt;'_motor'!$I$636))+(SUMPRODUCT('_motor'!$B$586:$B$665*('_motor'!$I$586:$I$665='_motor'!$I$636))+1)/2)</f>
        <v/>
      </c>
      <c r="G56" s="22">
        <f>IF('_motor'!$B$636=0,"",C56-D56)</f>
        <v/>
      </c>
      <c r="H56" s="22">
        <f>IF('_motor'!$B$636=0,"",C56-E56)</f>
        <v/>
      </c>
      <c r="I56" s="19">
        <f>IF('_motor'!$B$636=0,"",IF(AND(ABS('_motor'!$C$636-'_motor'!$B$668)&lt;='_motor'!$B$676+0.000000001,ABS('_motor'!$D$636-'_motor'!$B$668)&lt;='_motor'!$B$676+0.000000001),"5 · Pelotón (no concluyente)",IF(AND('_motor'!$C$636&gt;='_motor'!$B$668,'_motor'!$D$636&lt;'_motor'!$B$668),"1 · Entrada / determinante",IF(AND('_motor'!$C$636&gt;='_motor'!$B$668,'_motor'!$D$636&gt;='_motor'!$B$668),"2 · Intermedia / de enlace",IF(AND('_motor'!$C$636&lt;'_motor'!$B$668,'_motor'!$D$636&gt;='_motor'!$B$668),"3 · Resultado","4 · Excluida / autónoma")))))</f>
        <v/>
      </c>
      <c r="J56" s="19">
        <f>IF('_motor'!$B$636=0,"",IF(AND(ABS('_motor'!$I$636-'_motor'!$B$671)&lt;='_motor'!$B$679+0.000000001,ABS('_motor'!$J$636-'_motor'!$B$671)&lt;='_motor'!$B$679+0.000000001),"5 · Pelotón (no concluyente)",IF(AND('_motor'!$I$636&gt;='_motor'!$B$671,'_motor'!$J$636&lt;'_motor'!$B$671),"1 · Entrada / determinante",IF(AND('_motor'!$I$636&gt;='_motor'!$B$671,'_motor'!$J$636&gt;='_motor'!$B$671),"2 · Intermedia / de enlace",IF(AND('_motor'!$I$636&lt;'_motor'!$B$671,'_motor'!$J$636&gt;='_motor'!$B$671),"3 · Resultado","4 · Excluida / autónoma")))))</f>
        <v/>
      </c>
      <c r="K56" s="22">
        <f>IF('_motor'!$B$636=0,"",IF(LEFT(I56,1)=LEFT(J56,1),"No","SÍ"))</f>
        <v/>
      </c>
      <c r="L56" s="19">
        <f>IF('_motor'!$B$636=0,"",IF(AND(G56&gt;2,H56&gt;2),"Variable oculta y además latente: su peso real está muy infravalorado en la lectura directa. Prioridad máxima de seguimiento.",IF(G56&gt;2,"Variable oculta: gobierna el sistema a través de cadenas indirectas.",IF(H56&gt;2,"Variable latente: hoy es secundaria, pero ganará peso si las relaciones potenciales se materializan.",IF(AND(G56&lt;-2,H56&lt;-2),"Su importancia aparente en la lectura directa no se sostiene ni por vía indirecta ni potencial.","Comportamiento estable en las distintas clasificaciones.")))))</f>
        <v/>
      </c>
    </row>
    <row r="57" spans="1:12" x14ac:dyDescent="0.2">
      <c r="A57" s="21">
        <f>IF('_motor'!$B$637=0,"",'02 · Variables'!$B$58)</f>
        <v/>
      </c>
      <c r="B57" s="19">
        <f>IF('_motor'!$B$637=0,"",'02 · Variables'!$C$58)</f>
        <v/>
      </c>
      <c r="C57" s="22">
        <f>IF('_motor'!$B$637=0,"",SUMPRODUCT('_motor'!$B$586:$B$665*('_motor'!$C$586:$C$665&gt;'_motor'!$C$637))+(SUMPRODUCT('_motor'!$B$586:$B$665*('_motor'!$C$586:$C$665='_motor'!$C$637))+1)/2)</f>
        <v/>
      </c>
      <c r="D57" s="22">
        <f>IF('_motor'!$B$637=0,"",SUMPRODUCT('_motor'!$B$586:$B$665*('_motor'!$E$586:$E$665&gt;'_motor'!$E$637))+(SUMPRODUCT('_motor'!$B$586:$B$665*('_motor'!$E$586:$E$665='_motor'!$E$637))+1)/2)</f>
        <v/>
      </c>
      <c r="E57" s="22">
        <f>IF('_motor'!$B$637=0,"",SUMPRODUCT('_motor'!$B$586:$B$665*('_motor'!$G$586:$G$665&gt;'_motor'!$G$637))+(SUMPRODUCT('_motor'!$B$586:$B$665*('_motor'!$G$586:$G$665='_motor'!$G$637))+1)/2)</f>
        <v/>
      </c>
      <c r="F57" s="22">
        <f>IF('_motor'!$B$637=0,"",SUMPRODUCT('_motor'!$B$586:$B$665*('_motor'!$I$586:$I$665&gt;'_motor'!$I$637))+(SUMPRODUCT('_motor'!$B$586:$B$665*('_motor'!$I$586:$I$665='_motor'!$I$637))+1)/2)</f>
        <v/>
      </c>
      <c r="G57" s="22">
        <f>IF('_motor'!$B$637=0,"",C57-D57)</f>
        <v/>
      </c>
      <c r="H57" s="22">
        <f>IF('_motor'!$B$637=0,"",C57-E57)</f>
        <v/>
      </c>
      <c r="I57" s="19">
        <f>IF('_motor'!$B$637=0,"",IF(AND(ABS('_motor'!$C$637-'_motor'!$B$668)&lt;='_motor'!$B$676+0.000000001,ABS('_motor'!$D$637-'_motor'!$B$668)&lt;='_motor'!$B$676+0.000000001),"5 · Pelotón (no concluyente)",IF(AND('_motor'!$C$637&gt;='_motor'!$B$668,'_motor'!$D$637&lt;'_motor'!$B$668),"1 · Entrada / determinante",IF(AND('_motor'!$C$637&gt;='_motor'!$B$668,'_motor'!$D$637&gt;='_motor'!$B$668),"2 · Intermedia / de enlace",IF(AND('_motor'!$C$637&lt;'_motor'!$B$668,'_motor'!$D$637&gt;='_motor'!$B$668),"3 · Resultado","4 · Excluida / autónoma")))))</f>
        <v/>
      </c>
      <c r="J57" s="19">
        <f>IF('_motor'!$B$637=0,"",IF(AND(ABS('_motor'!$I$637-'_motor'!$B$671)&lt;='_motor'!$B$679+0.000000001,ABS('_motor'!$J$637-'_motor'!$B$671)&lt;='_motor'!$B$679+0.000000001),"5 · Pelotón (no concluyente)",IF(AND('_motor'!$I$637&gt;='_motor'!$B$671,'_motor'!$J$637&lt;'_motor'!$B$671),"1 · Entrada / determinante",IF(AND('_motor'!$I$637&gt;='_motor'!$B$671,'_motor'!$J$637&gt;='_motor'!$B$671),"2 · Intermedia / de enlace",IF(AND('_motor'!$I$637&lt;'_motor'!$B$671,'_motor'!$J$637&gt;='_motor'!$B$671),"3 · Resultado","4 · Excluida / autónoma")))))</f>
        <v/>
      </c>
      <c r="K57" s="22">
        <f>IF('_motor'!$B$637=0,"",IF(LEFT(I57,1)=LEFT(J57,1),"No","SÍ"))</f>
        <v/>
      </c>
      <c r="L57" s="19">
        <f>IF('_motor'!$B$637=0,"",IF(AND(G57&gt;2,H57&gt;2),"Variable oculta y además latente: su peso real está muy infravalorado en la lectura directa. Prioridad máxima de seguimiento.",IF(G57&gt;2,"Variable oculta: gobierna el sistema a través de cadenas indirectas.",IF(H57&gt;2,"Variable latente: hoy es secundaria, pero ganará peso si las relaciones potenciales se materializan.",IF(AND(G57&lt;-2,H57&lt;-2),"Su importancia aparente en la lectura directa no se sostiene ni por vía indirecta ni potencial.","Comportamiento estable en las distintas clasificaciones.")))))</f>
        <v/>
      </c>
    </row>
    <row r="58" spans="1:12" x14ac:dyDescent="0.2">
      <c r="A58" s="21">
        <f>IF('_motor'!$B$638=0,"",'02 · Variables'!$B$59)</f>
        <v/>
      </c>
      <c r="B58" s="19">
        <f>IF('_motor'!$B$638=0,"",'02 · Variables'!$C$59)</f>
        <v/>
      </c>
      <c r="C58" s="22">
        <f>IF('_motor'!$B$638=0,"",SUMPRODUCT('_motor'!$B$586:$B$665*('_motor'!$C$586:$C$665&gt;'_motor'!$C$638))+(SUMPRODUCT('_motor'!$B$586:$B$665*('_motor'!$C$586:$C$665='_motor'!$C$638))+1)/2)</f>
        <v/>
      </c>
      <c r="D58" s="22">
        <f>IF('_motor'!$B$638=0,"",SUMPRODUCT('_motor'!$B$586:$B$665*('_motor'!$E$586:$E$665&gt;'_motor'!$E$638))+(SUMPRODUCT('_motor'!$B$586:$B$665*('_motor'!$E$586:$E$665='_motor'!$E$638))+1)/2)</f>
        <v/>
      </c>
      <c r="E58" s="22">
        <f>IF('_motor'!$B$638=0,"",SUMPRODUCT('_motor'!$B$586:$B$665*('_motor'!$G$586:$G$665&gt;'_motor'!$G$638))+(SUMPRODUCT('_motor'!$B$586:$B$665*('_motor'!$G$586:$G$665='_motor'!$G$638))+1)/2)</f>
        <v/>
      </c>
      <c r="F58" s="22">
        <f>IF('_motor'!$B$638=0,"",SUMPRODUCT('_motor'!$B$586:$B$665*('_motor'!$I$586:$I$665&gt;'_motor'!$I$638))+(SUMPRODUCT('_motor'!$B$586:$B$665*('_motor'!$I$586:$I$665='_motor'!$I$638))+1)/2)</f>
        <v/>
      </c>
      <c r="G58" s="22">
        <f>IF('_motor'!$B$638=0,"",C58-D58)</f>
        <v/>
      </c>
      <c r="H58" s="22">
        <f>IF('_motor'!$B$638=0,"",C58-E58)</f>
        <v/>
      </c>
      <c r="I58" s="19">
        <f>IF('_motor'!$B$638=0,"",IF(AND(ABS('_motor'!$C$638-'_motor'!$B$668)&lt;='_motor'!$B$676+0.000000001,ABS('_motor'!$D$638-'_motor'!$B$668)&lt;='_motor'!$B$676+0.000000001),"5 · Pelotón (no concluyente)",IF(AND('_motor'!$C$638&gt;='_motor'!$B$668,'_motor'!$D$638&lt;'_motor'!$B$668),"1 · Entrada / determinante",IF(AND('_motor'!$C$638&gt;='_motor'!$B$668,'_motor'!$D$638&gt;='_motor'!$B$668),"2 · Intermedia / de enlace",IF(AND('_motor'!$C$638&lt;'_motor'!$B$668,'_motor'!$D$638&gt;='_motor'!$B$668),"3 · Resultado","4 · Excluida / autónoma")))))</f>
        <v/>
      </c>
      <c r="J58" s="19">
        <f>IF('_motor'!$B$638=0,"",IF(AND(ABS('_motor'!$I$638-'_motor'!$B$671)&lt;='_motor'!$B$679+0.000000001,ABS('_motor'!$J$638-'_motor'!$B$671)&lt;='_motor'!$B$679+0.000000001),"5 · Pelotón (no concluyente)",IF(AND('_motor'!$I$638&gt;='_motor'!$B$671,'_motor'!$J$638&lt;'_motor'!$B$671),"1 · Entrada / determinante",IF(AND('_motor'!$I$638&gt;='_motor'!$B$671,'_motor'!$J$638&gt;='_motor'!$B$671),"2 · Intermedia / de enlace",IF(AND('_motor'!$I$638&lt;'_motor'!$B$671,'_motor'!$J$638&gt;='_motor'!$B$671),"3 · Resultado","4 · Excluida / autónoma")))))</f>
        <v/>
      </c>
      <c r="K58" s="22">
        <f>IF('_motor'!$B$638=0,"",IF(LEFT(I58,1)=LEFT(J58,1),"No","SÍ"))</f>
        <v/>
      </c>
      <c r="L58" s="19">
        <f>IF('_motor'!$B$638=0,"",IF(AND(G58&gt;2,H58&gt;2),"Variable oculta y además latente: su peso real está muy infravalorado en la lectura directa. Prioridad máxima de seguimiento.",IF(G58&gt;2,"Variable oculta: gobierna el sistema a través de cadenas indirectas.",IF(H58&gt;2,"Variable latente: hoy es secundaria, pero ganará peso si las relaciones potenciales se materializan.",IF(AND(G58&lt;-2,H58&lt;-2),"Su importancia aparente en la lectura directa no se sostiene ni por vía indirecta ni potencial.","Comportamiento estable en las distintas clasificaciones.")))))</f>
        <v/>
      </c>
    </row>
    <row r="59" spans="1:12" x14ac:dyDescent="0.2">
      <c r="A59" s="21">
        <f>IF('_motor'!$B$639=0,"",'02 · Variables'!$B$60)</f>
        <v/>
      </c>
      <c r="B59" s="19">
        <f>IF('_motor'!$B$639=0,"",'02 · Variables'!$C$60)</f>
        <v/>
      </c>
      <c r="C59" s="22">
        <f>IF('_motor'!$B$639=0,"",SUMPRODUCT('_motor'!$B$586:$B$665*('_motor'!$C$586:$C$665&gt;'_motor'!$C$639))+(SUMPRODUCT('_motor'!$B$586:$B$665*('_motor'!$C$586:$C$665='_motor'!$C$639))+1)/2)</f>
        <v/>
      </c>
      <c r="D59" s="22">
        <f>IF('_motor'!$B$639=0,"",SUMPRODUCT('_motor'!$B$586:$B$665*('_motor'!$E$586:$E$665&gt;'_motor'!$E$639))+(SUMPRODUCT('_motor'!$B$586:$B$665*('_motor'!$E$586:$E$665='_motor'!$E$639))+1)/2)</f>
        <v/>
      </c>
      <c r="E59" s="22">
        <f>IF('_motor'!$B$639=0,"",SUMPRODUCT('_motor'!$B$586:$B$665*('_motor'!$G$586:$G$665&gt;'_motor'!$G$639))+(SUMPRODUCT('_motor'!$B$586:$B$665*('_motor'!$G$586:$G$665='_motor'!$G$639))+1)/2)</f>
        <v/>
      </c>
      <c r="F59" s="22">
        <f>IF('_motor'!$B$639=0,"",SUMPRODUCT('_motor'!$B$586:$B$665*('_motor'!$I$586:$I$665&gt;'_motor'!$I$639))+(SUMPRODUCT('_motor'!$B$586:$B$665*('_motor'!$I$586:$I$665='_motor'!$I$639))+1)/2)</f>
        <v/>
      </c>
      <c r="G59" s="22">
        <f>IF('_motor'!$B$639=0,"",C59-D59)</f>
        <v/>
      </c>
      <c r="H59" s="22">
        <f>IF('_motor'!$B$639=0,"",C59-E59)</f>
        <v/>
      </c>
      <c r="I59" s="19">
        <f>IF('_motor'!$B$639=0,"",IF(AND(ABS('_motor'!$C$639-'_motor'!$B$668)&lt;='_motor'!$B$676+0.000000001,ABS('_motor'!$D$639-'_motor'!$B$668)&lt;='_motor'!$B$676+0.000000001),"5 · Pelotón (no concluyente)",IF(AND('_motor'!$C$639&gt;='_motor'!$B$668,'_motor'!$D$639&lt;'_motor'!$B$668),"1 · Entrada / determinante",IF(AND('_motor'!$C$639&gt;='_motor'!$B$668,'_motor'!$D$639&gt;='_motor'!$B$668),"2 · Intermedia / de enlace",IF(AND('_motor'!$C$639&lt;'_motor'!$B$668,'_motor'!$D$639&gt;='_motor'!$B$668),"3 · Resultado","4 · Excluida / autónoma")))))</f>
        <v/>
      </c>
      <c r="J59" s="19">
        <f>IF('_motor'!$B$639=0,"",IF(AND(ABS('_motor'!$I$639-'_motor'!$B$671)&lt;='_motor'!$B$679+0.000000001,ABS('_motor'!$J$639-'_motor'!$B$671)&lt;='_motor'!$B$679+0.000000001),"5 · Pelotón (no concluyente)",IF(AND('_motor'!$I$639&gt;='_motor'!$B$671,'_motor'!$J$639&lt;'_motor'!$B$671),"1 · Entrada / determinante",IF(AND('_motor'!$I$639&gt;='_motor'!$B$671,'_motor'!$J$639&gt;='_motor'!$B$671),"2 · Intermedia / de enlace",IF(AND('_motor'!$I$639&lt;'_motor'!$B$671,'_motor'!$J$639&gt;='_motor'!$B$671),"3 · Resultado","4 · Excluida / autónoma")))))</f>
        <v/>
      </c>
      <c r="K59" s="22">
        <f>IF('_motor'!$B$639=0,"",IF(LEFT(I59,1)=LEFT(J59,1),"No","SÍ"))</f>
        <v/>
      </c>
      <c r="L59" s="19">
        <f>IF('_motor'!$B$639=0,"",IF(AND(G59&gt;2,H59&gt;2),"Variable oculta y además latente: su peso real está muy infravalorado en la lectura directa. Prioridad máxima de seguimiento.",IF(G59&gt;2,"Variable oculta: gobierna el sistema a través de cadenas indirectas.",IF(H59&gt;2,"Variable latente: hoy es secundaria, pero ganará peso si las relaciones potenciales se materializan.",IF(AND(G59&lt;-2,H59&lt;-2),"Su importancia aparente en la lectura directa no se sostiene ni por vía indirecta ni potencial.","Comportamiento estable en las distintas clasificaciones.")))))</f>
        <v/>
      </c>
    </row>
    <row r="60" spans="1:12" x14ac:dyDescent="0.2">
      <c r="A60" s="21">
        <f>IF('_motor'!$B$640=0,"",'02 · Variables'!$B$61)</f>
        <v/>
      </c>
      <c r="B60" s="19">
        <f>IF('_motor'!$B$640=0,"",'02 · Variables'!$C$61)</f>
        <v/>
      </c>
      <c r="C60" s="22">
        <f>IF('_motor'!$B$640=0,"",SUMPRODUCT('_motor'!$B$586:$B$665*('_motor'!$C$586:$C$665&gt;'_motor'!$C$640))+(SUMPRODUCT('_motor'!$B$586:$B$665*('_motor'!$C$586:$C$665='_motor'!$C$640))+1)/2)</f>
        <v/>
      </c>
      <c r="D60" s="22">
        <f>IF('_motor'!$B$640=0,"",SUMPRODUCT('_motor'!$B$586:$B$665*('_motor'!$E$586:$E$665&gt;'_motor'!$E$640))+(SUMPRODUCT('_motor'!$B$586:$B$665*('_motor'!$E$586:$E$665='_motor'!$E$640))+1)/2)</f>
        <v/>
      </c>
      <c r="E60" s="22">
        <f>IF('_motor'!$B$640=0,"",SUMPRODUCT('_motor'!$B$586:$B$665*('_motor'!$G$586:$G$665&gt;'_motor'!$G$640))+(SUMPRODUCT('_motor'!$B$586:$B$665*('_motor'!$G$586:$G$665='_motor'!$G$640))+1)/2)</f>
        <v/>
      </c>
      <c r="F60" s="22">
        <f>IF('_motor'!$B$640=0,"",SUMPRODUCT('_motor'!$B$586:$B$665*('_motor'!$I$586:$I$665&gt;'_motor'!$I$640))+(SUMPRODUCT('_motor'!$B$586:$B$665*('_motor'!$I$586:$I$665='_motor'!$I$640))+1)/2)</f>
        <v/>
      </c>
      <c r="G60" s="22">
        <f>IF('_motor'!$B$640=0,"",C60-D60)</f>
        <v/>
      </c>
      <c r="H60" s="22">
        <f>IF('_motor'!$B$640=0,"",C60-E60)</f>
        <v/>
      </c>
      <c r="I60" s="19">
        <f>IF('_motor'!$B$640=0,"",IF(AND(ABS('_motor'!$C$640-'_motor'!$B$668)&lt;='_motor'!$B$676+0.000000001,ABS('_motor'!$D$640-'_motor'!$B$668)&lt;='_motor'!$B$676+0.000000001),"5 · Pelotón (no concluyente)",IF(AND('_motor'!$C$640&gt;='_motor'!$B$668,'_motor'!$D$640&lt;'_motor'!$B$668),"1 · Entrada / determinante",IF(AND('_motor'!$C$640&gt;='_motor'!$B$668,'_motor'!$D$640&gt;='_motor'!$B$668),"2 · Intermedia / de enlace",IF(AND('_motor'!$C$640&lt;'_motor'!$B$668,'_motor'!$D$640&gt;='_motor'!$B$668),"3 · Resultado","4 · Excluida / autónoma")))))</f>
        <v/>
      </c>
      <c r="J60" s="19">
        <f>IF('_motor'!$B$640=0,"",IF(AND(ABS('_motor'!$I$640-'_motor'!$B$671)&lt;='_motor'!$B$679+0.000000001,ABS('_motor'!$J$640-'_motor'!$B$671)&lt;='_motor'!$B$679+0.000000001),"5 · Pelotón (no concluyente)",IF(AND('_motor'!$I$640&gt;='_motor'!$B$671,'_motor'!$J$640&lt;'_motor'!$B$671),"1 · Entrada / determinante",IF(AND('_motor'!$I$640&gt;='_motor'!$B$671,'_motor'!$J$640&gt;='_motor'!$B$671),"2 · Intermedia / de enlace",IF(AND('_motor'!$I$640&lt;'_motor'!$B$671,'_motor'!$J$640&gt;='_motor'!$B$671),"3 · Resultado","4 · Excluida / autónoma")))))</f>
        <v/>
      </c>
      <c r="K60" s="22">
        <f>IF('_motor'!$B$640=0,"",IF(LEFT(I60,1)=LEFT(J60,1),"No","SÍ"))</f>
        <v/>
      </c>
      <c r="L60" s="19">
        <f>IF('_motor'!$B$640=0,"",IF(AND(G60&gt;2,H60&gt;2),"Variable oculta y además latente: su peso real está muy infravalorado en la lectura directa. Prioridad máxima de seguimiento.",IF(G60&gt;2,"Variable oculta: gobierna el sistema a través de cadenas indirectas.",IF(H60&gt;2,"Variable latente: hoy es secundaria, pero ganará peso si las relaciones potenciales se materializan.",IF(AND(G60&lt;-2,H60&lt;-2),"Su importancia aparente en la lectura directa no se sostiene ni por vía indirecta ni potencial.","Comportamiento estable en las distintas clasificaciones.")))))</f>
        <v/>
      </c>
    </row>
    <row r="61" spans="1:12" x14ac:dyDescent="0.2">
      <c r="A61" s="21">
        <f>IF('_motor'!$B$641=0,"",'02 · Variables'!$B$62)</f>
        <v/>
      </c>
      <c r="B61" s="19">
        <f>IF('_motor'!$B$641=0,"",'02 · Variables'!$C$62)</f>
        <v/>
      </c>
      <c r="C61" s="22">
        <f>IF('_motor'!$B$641=0,"",SUMPRODUCT('_motor'!$B$586:$B$665*('_motor'!$C$586:$C$665&gt;'_motor'!$C$641))+(SUMPRODUCT('_motor'!$B$586:$B$665*('_motor'!$C$586:$C$665='_motor'!$C$641))+1)/2)</f>
        <v/>
      </c>
      <c r="D61" s="22">
        <f>IF('_motor'!$B$641=0,"",SUMPRODUCT('_motor'!$B$586:$B$665*('_motor'!$E$586:$E$665&gt;'_motor'!$E$641))+(SUMPRODUCT('_motor'!$B$586:$B$665*('_motor'!$E$586:$E$665='_motor'!$E$641))+1)/2)</f>
        <v/>
      </c>
      <c r="E61" s="22">
        <f>IF('_motor'!$B$641=0,"",SUMPRODUCT('_motor'!$B$586:$B$665*('_motor'!$G$586:$G$665&gt;'_motor'!$G$641))+(SUMPRODUCT('_motor'!$B$586:$B$665*('_motor'!$G$586:$G$665='_motor'!$G$641))+1)/2)</f>
        <v/>
      </c>
      <c r="F61" s="22">
        <f>IF('_motor'!$B$641=0,"",SUMPRODUCT('_motor'!$B$586:$B$665*('_motor'!$I$586:$I$665&gt;'_motor'!$I$641))+(SUMPRODUCT('_motor'!$B$586:$B$665*('_motor'!$I$586:$I$665='_motor'!$I$641))+1)/2)</f>
        <v/>
      </c>
      <c r="G61" s="22">
        <f>IF('_motor'!$B$641=0,"",C61-D61)</f>
        <v/>
      </c>
      <c r="H61" s="22">
        <f>IF('_motor'!$B$641=0,"",C61-E61)</f>
        <v/>
      </c>
      <c r="I61" s="19">
        <f>IF('_motor'!$B$641=0,"",IF(AND(ABS('_motor'!$C$641-'_motor'!$B$668)&lt;='_motor'!$B$676+0.000000001,ABS('_motor'!$D$641-'_motor'!$B$668)&lt;='_motor'!$B$676+0.000000001),"5 · Pelotón (no concluyente)",IF(AND('_motor'!$C$641&gt;='_motor'!$B$668,'_motor'!$D$641&lt;'_motor'!$B$668),"1 · Entrada / determinante",IF(AND('_motor'!$C$641&gt;='_motor'!$B$668,'_motor'!$D$641&gt;='_motor'!$B$668),"2 · Intermedia / de enlace",IF(AND('_motor'!$C$641&lt;'_motor'!$B$668,'_motor'!$D$641&gt;='_motor'!$B$668),"3 · Resultado","4 · Excluida / autónoma")))))</f>
        <v/>
      </c>
      <c r="J61" s="19">
        <f>IF('_motor'!$B$641=0,"",IF(AND(ABS('_motor'!$I$641-'_motor'!$B$671)&lt;='_motor'!$B$679+0.000000001,ABS('_motor'!$J$641-'_motor'!$B$671)&lt;='_motor'!$B$679+0.000000001),"5 · Pelotón (no concluyente)",IF(AND('_motor'!$I$641&gt;='_motor'!$B$671,'_motor'!$J$641&lt;'_motor'!$B$671),"1 · Entrada / determinante",IF(AND('_motor'!$I$641&gt;='_motor'!$B$671,'_motor'!$J$641&gt;='_motor'!$B$671),"2 · Intermedia / de enlace",IF(AND('_motor'!$I$641&lt;'_motor'!$B$671,'_motor'!$J$641&gt;='_motor'!$B$671),"3 · Resultado","4 · Excluida / autónoma")))))</f>
        <v/>
      </c>
      <c r="K61" s="22">
        <f>IF('_motor'!$B$641=0,"",IF(LEFT(I61,1)=LEFT(J61,1),"No","SÍ"))</f>
        <v/>
      </c>
      <c r="L61" s="19">
        <f>IF('_motor'!$B$641=0,"",IF(AND(G61&gt;2,H61&gt;2),"Variable oculta y además latente: su peso real está muy infravalorado en la lectura directa. Prioridad máxima de seguimiento.",IF(G61&gt;2,"Variable oculta: gobierna el sistema a través de cadenas indirectas.",IF(H61&gt;2,"Variable latente: hoy es secundaria, pero ganará peso si las relaciones potenciales se materializan.",IF(AND(G61&lt;-2,H61&lt;-2),"Su importancia aparente en la lectura directa no se sostiene ni por vía indirecta ni potencial.","Comportamiento estable en las distintas clasificaciones.")))))</f>
        <v/>
      </c>
    </row>
    <row r="62" spans="1:12" x14ac:dyDescent="0.2">
      <c r="A62" s="21">
        <f>IF('_motor'!$B$642=0,"",'02 · Variables'!$B$63)</f>
        <v/>
      </c>
      <c r="B62" s="19">
        <f>IF('_motor'!$B$642=0,"",'02 · Variables'!$C$63)</f>
        <v/>
      </c>
      <c r="C62" s="22">
        <f>IF('_motor'!$B$642=0,"",SUMPRODUCT('_motor'!$B$586:$B$665*('_motor'!$C$586:$C$665&gt;'_motor'!$C$642))+(SUMPRODUCT('_motor'!$B$586:$B$665*('_motor'!$C$586:$C$665='_motor'!$C$642))+1)/2)</f>
        <v/>
      </c>
      <c r="D62" s="22">
        <f>IF('_motor'!$B$642=0,"",SUMPRODUCT('_motor'!$B$586:$B$665*('_motor'!$E$586:$E$665&gt;'_motor'!$E$642))+(SUMPRODUCT('_motor'!$B$586:$B$665*('_motor'!$E$586:$E$665='_motor'!$E$642))+1)/2)</f>
        <v/>
      </c>
      <c r="E62" s="22">
        <f>IF('_motor'!$B$642=0,"",SUMPRODUCT('_motor'!$B$586:$B$665*('_motor'!$G$586:$G$665&gt;'_motor'!$G$642))+(SUMPRODUCT('_motor'!$B$586:$B$665*('_motor'!$G$586:$G$665='_motor'!$G$642))+1)/2)</f>
        <v/>
      </c>
      <c r="F62" s="22">
        <f>IF('_motor'!$B$642=0,"",SUMPRODUCT('_motor'!$B$586:$B$665*('_motor'!$I$586:$I$665&gt;'_motor'!$I$642))+(SUMPRODUCT('_motor'!$B$586:$B$665*('_motor'!$I$586:$I$665='_motor'!$I$642))+1)/2)</f>
        <v/>
      </c>
      <c r="G62" s="22">
        <f>IF('_motor'!$B$642=0,"",C62-D62)</f>
        <v/>
      </c>
      <c r="H62" s="22">
        <f>IF('_motor'!$B$642=0,"",C62-E62)</f>
        <v/>
      </c>
      <c r="I62" s="19">
        <f>IF('_motor'!$B$642=0,"",IF(AND(ABS('_motor'!$C$642-'_motor'!$B$668)&lt;='_motor'!$B$676+0.000000001,ABS('_motor'!$D$642-'_motor'!$B$668)&lt;='_motor'!$B$676+0.000000001),"5 · Pelotón (no concluyente)",IF(AND('_motor'!$C$642&gt;='_motor'!$B$668,'_motor'!$D$642&lt;'_motor'!$B$668),"1 · Entrada / determinante",IF(AND('_motor'!$C$642&gt;='_motor'!$B$668,'_motor'!$D$642&gt;='_motor'!$B$668),"2 · Intermedia / de enlace",IF(AND('_motor'!$C$642&lt;'_motor'!$B$668,'_motor'!$D$642&gt;='_motor'!$B$668),"3 · Resultado","4 · Excluida / autónoma")))))</f>
        <v/>
      </c>
      <c r="J62" s="19">
        <f>IF('_motor'!$B$642=0,"",IF(AND(ABS('_motor'!$I$642-'_motor'!$B$671)&lt;='_motor'!$B$679+0.000000001,ABS('_motor'!$J$642-'_motor'!$B$671)&lt;='_motor'!$B$679+0.000000001),"5 · Pelotón (no concluyente)",IF(AND('_motor'!$I$642&gt;='_motor'!$B$671,'_motor'!$J$642&lt;'_motor'!$B$671),"1 · Entrada / determinante",IF(AND('_motor'!$I$642&gt;='_motor'!$B$671,'_motor'!$J$642&gt;='_motor'!$B$671),"2 · Intermedia / de enlace",IF(AND('_motor'!$I$642&lt;'_motor'!$B$671,'_motor'!$J$642&gt;='_motor'!$B$671),"3 · Resultado","4 · Excluida / autónoma")))))</f>
        <v/>
      </c>
      <c r="K62" s="22">
        <f>IF('_motor'!$B$642=0,"",IF(LEFT(I62,1)=LEFT(J62,1),"No","SÍ"))</f>
        <v/>
      </c>
      <c r="L62" s="19">
        <f>IF('_motor'!$B$642=0,"",IF(AND(G62&gt;2,H62&gt;2),"Variable oculta y además latente: su peso real está muy infravalorado en la lectura directa. Prioridad máxima de seguimiento.",IF(G62&gt;2,"Variable oculta: gobierna el sistema a través de cadenas indirectas.",IF(H62&gt;2,"Variable latente: hoy es secundaria, pero ganará peso si las relaciones potenciales se materializan.",IF(AND(G62&lt;-2,H62&lt;-2),"Su importancia aparente en la lectura directa no se sostiene ni por vía indirecta ni potencial.","Comportamiento estable en las distintas clasificaciones.")))))</f>
        <v/>
      </c>
    </row>
    <row r="63" spans="1:12" x14ac:dyDescent="0.2">
      <c r="A63" s="21">
        <f>IF('_motor'!$B$643=0,"",'02 · Variables'!$B$64)</f>
        <v/>
      </c>
      <c r="B63" s="19">
        <f>IF('_motor'!$B$643=0,"",'02 · Variables'!$C$64)</f>
        <v/>
      </c>
      <c r="C63" s="22">
        <f>IF('_motor'!$B$643=0,"",SUMPRODUCT('_motor'!$B$586:$B$665*('_motor'!$C$586:$C$665&gt;'_motor'!$C$643))+(SUMPRODUCT('_motor'!$B$586:$B$665*('_motor'!$C$586:$C$665='_motor'!$C$643))+1)/2)</f>
        <v/>
      </c>
      <c r="D63" s="22">
        <f>IF('_motor'!$B$643=0,"",SUMPRODUCT('_motor'!$B$586:$B$665*('_motor'!$E$586:$E$665&gt;'_motor'!$E$643))+(SUMPRODUCT('_motor'!$B$586:$B$665*('_motor'!$E$586:$E$665='_motor'!$E$643))+1)/2)</f>
        <v/>
      </c>
      <c r="E63" s="22">
        <f>IF('_motor'!$B$643=0,"",SUMPRODUCT('_motor'!$B$586:$B$665*('_motor'!$G$586:$G$665&gt;'_motor'!$G$643))+(SUMPRODUCT('_motor'!$B$586:$B$665*('_motor'!$G$586:$G$665='_motor'!$G$643))+1)/2)</f>
        <v/>
      </c>
      <c r="F63" s="22">
        <f>IF('_motor'!$B$643=0,"",SUMPRODUCT('_motor'!$B$586:$B$665*('_motor'!$I$586:$I$665&gt;'_motor'!$I$643))+(SUMPRODUCT('_motor'!$B$586:$B$665*('_motor'!$I$586:$I$665='_motor'!$I$643))+1)/2)</f>
        <v/>
      </c>
      <c r="G63" s="22">
        <f>IF('_motor'!$B$643=0,"",C63-D63)</f>
        <v/>
      </c>
      <c r="H63" s="22">
        <f>IF('_motor'!$B$643=0,"",C63-E63)</f>
        <v/>
      </c>
      <c r="I63" s="19">
        <f>IF('_motor'!$B$643=0,"",IF(AND(ABS('_motor'!$C$643-'_motor'!$B$668)&lt;='_motor'!$B$676+0.000000001,ABS('_motor'!$D$643-'_motor'!$B$668)&lt;='_motor'!$B$676+0.000000001),"5 · Pelotón (no concluyente)",IF(AND('_motor'!$C$643&gt;='_motor'!$B$668,'_motor'!$D$643&lt;'_motor'!$B$668),"1 · Entrada / determinante",IF(AND('_motor'!$C$643&gt;='_motor'!$B$668,'_motor'!$D$643&gt;='_motor'!$B$668),"2 · Intermedia / de enlace",IF(AND('_motor'!$C$643&lt;'_motor'!$B$668,'_motor'!$D$643&gt;='_motor'!$B$668),"3 · Resultado","4 · Excluida / autónoma")))))</f>
        <v/>
      </c>
      <c r="J63" s="19">
        <f>IF('_motor'!$B$643=0,"",IF(AND(ABS('_motor'!$I$643-'_motor'!$B$671)&lt;='_motor'!$B$679+0.000000001,ABS('_motor'!$J$643-'_motor'!$B$671)&lt;='_motor'!$B$679+0.000000001),"5 · Pelotón (no concluyente)",IF(AND('_motor'!$I$643&gt;='_motor'!$B$671,'_motor'!$J$643&lt;'_motor'!$B$671),"1 · Entrada / determinante",IF(AND('_motor'!$I$643&gt;='_motor'!$B$671,'_motor'!$J$643&gt;='_motor'!$B$671),"2 · Intermedia / de enlace",IF(AND('_motor'!$I$643&lt;'_motor'!$B$671,'_motor'!$J$643&gt;='_motor'!$B$671),"3 · Resultado","4 · Excluida / autónoma")))))</f>
        <v/>
      </c>
      <c r="K63" s="22">
        <f>IF('_motor'!$B$643=0,"",IF(LEFT(I63,1)=LEFT(J63,1),"No","SÍ"))</f>
        <v/>
      </c>
      <c r="L63" s="19">
        <f>IF('_motor'!$B$643=0,"",IF(AND(G63&gt;2,H63&gt;2),"Variable oculta y además latente: su peso real está muy infravalorado en la lectura directa. Prioridad máxima de seguimiento.",IF(G63&gt;2,"Variable oculta: gobierna el sistema a través de cadenas indirectas.",IF(H63&gt;2,"Variable latente: hoy es secundaria, pero ganará peso si las relaciones potenciales se materializan.",IF(AND(G63&lt;-2,H63&lt;-2),"Su importancia aparente en la lectura directa no se sostiene ni por vía indirecta ni potencial.","Comportamiento estable en las distintas clasificaciones.")))))</f>
        <v/>
      </c>
    </row>
    <row r="64" spans="1:12" x14ac:dyDescent="0.2">
      <c r="A64" s="21">
        <f>IF('_motor'!$B$644=0,"",'02 · Variables'!$B$65)</f>
        <v/>
      </c>
      <c r="B64" s="19">
        <f>IF('_motor'!$B$644=0,"",'02 · Variables'!$C$65)</f>
        <v/>
      </c>
      <c r="C64" s="22">
        <f>IF('_motor'!$B$644=0,"",SUMPRODUCT('_motor'!$B$586:$B$665*('_motor'!$C$586:$C$665&gt;'_motor'!$C$644))+(SUMPRODUCT('_motor'!$B$586:$B$665*('_motor'!$C$586:$C$665='_motor'!$C$644))+1)/2)</f>
        <v/>
      </c>
      <c r="D64" s="22">
        <f>IF('_motor'!$B$644=0,"",SUMPRODUCT('_motor'!$B$586:$B$665*('_motor'!$E$586:$E$665&gt;'_motor'!$E$644))+(SUMPRODUCT('_motor'!$B$586:$B$665*('_motor'!$E$586:$E$665='_motor'!$E$644))+1)/2)</f>
        <v/>
      </c>
      <c r="E64" s="22">
        <f>IF('_motor'!$B$644=0,"",SUMPRODUCT('_motor'!$B$586:$B$665*('_motor'!$G$586:$G$665&gt;'_motor'!$G$644))+(SUMPRODUCT('_motor'!$B$586:$B$665*('_motor'!$G$586:$G$665='_motor'!$G$644))+1)/2)</f>
        <v/>
      </c>
      <c r="F64" s="22">
        <f>IF('_motor'!$B$644=0,"",SUMPRODUCT('_motor'!$B$586:$B$665*('_motor'!$I$586:$I$665&gt;'_motor'!$I$644))+(SUMPRODUCT('_motor'!$B$586:$B$665*('_motor'!$I$586:$I$665='_motor'!$I$644))+1)/2)</f>
        <v/>
      </c>
      <c r="G64" s="22">
        <f>IF('_motor'!$B$644=0,"",C64-D64)</f>
        <v/>
      </c>
      <c r="H64" s="22">
        <f>IF('_motor'!$B$644=0,"",C64-E64)</f>
        <v/>
      </c>
      <c r="I64" s="19">
        <f>IF('_motor'!$B$644=0,"",IF(AND(ABS('_motor'!$C$644-'_motor'!$B$668)&lt;='_motor'!$B$676+0.000000001,ABS('_motor'!$D$644-'_motor'!$B$668)&lt;='_motor'!$B$676+0.000000001),"5 · Pelotón (no concluyente)",IF(AND('_motor'!$C$644&gt;='_motor'!$B$668,'_motor'!$D$644&lt;'_motor'!$B$668),"1 · Entrada / determinante",IF(AND('_motor'!$C$644&gt;='_motor'!$B$668,'_motor'!$D$644&gt;='_motor'!$B$668),"2 · Intermedia / de enlace",IF(AND('_motor'!$C$644&lt;'_motor'!$B$668,'_motor'!$D$644&gt;='_motor'!$B$668),"3 · Resultado","4 · Excluida / autónoma")))))</f>
        <v/>
      </c>
      <c r="J64" s="19">
        <f>IF('_motor'!$B$644=0,"",IF(AND(ABS('_motor'!$I$644-'_motor'!$B$671)&lt;='_motor'!$B$679+0.000000001,ABS('_motor'!$J$644-'_motor'!$B$671)&lt;='_motor'!$B$679+0.000000001),"5 · Pelotón (no concluyente)",IF(AND('_motor'!$I$644&gt;='_motor'!$B$671,'_motor'!$J$644&lt;'_motor'!$B$671),"1 · Entrada / determinante",IF(AND('_motor'!$I$644&gt;='_motor'!$B$671,'_motor'!$J$644&gt;='_motor'!$B$671),"2 · Intermedia / de enlace",IF(AND('_motor'!$I$644&lt;'_motor'!$B$671,'_motor'!$J$644&gt;='_motor'!$B$671),"3 · Resultado","4 · Excluida / autónoma")))))</f>
        <v/>
      </c>
      <c r="K64" s="22">
        <f>IF('_motor'!$B$644=0,"",IF(LEFT(I64,1)=LEFT(J64,1),"No","SÍ"))</f>
        <v/>
      </c>
      <c r="L64" s="19">
        <f>IF('_motor'!$B$644=0,"",IF(AND(G64&gt;2,H64&gt;2),"Variable oculta y además latente: su peso real está muy infravalorado en la lectura directa. Prioridad máxima de seguimiento.",IF(G64&gt;2,"Variable oculta: gobierna el sistema a través de cadenas indirectas.",IF(H64&gt;2,"Variable latente: hoy es secundaria, pero ganará peso si las relaciones potenciales se materializan.",IF(AND(G64&lt;-2,H64&lt;-2),"Su importancia aparente en la lectura directa no se sostiene ni por vía indirecta ni potencial.","Comportamiento estable en las distintas clasificaciones.")))))</f>
        <v/>
      </c>
    </row>
    <row r="65" spans="1:12" x14ac:dyDescent="0.2">
      <c r="A65" s="21">
        <f>IF('_motor'!$B$645=0,"",'02 · Variables'!$B$66)</f>
        <v/>
      </c>
      <c r="B65" s="19">
        <f>IF('_motor'!$B$645=0,"",'02 · Variables'!$C$66)</f>
        <v/>
      </c>
      <c r="C65" s="22">
        <f>IF('_motor'!$B$645=0,"",SUMPRODUCT('_motor'!$B$586:$B$665*('_motor'!$C$586:$C$665&gt;'_motor'!$C$645))+(SUMPRODUCT('_motor'!$B$586:$B$665*('_motor'!$C$586:$C$665='_motor'!$C$645))+1)/2)</f>
        <v/>
      </c>
      <c r="D65" s="22">
        <f>IF('_motor'!$B$645=0,"",SUMPRODUCT('_motor'!$B$586:$B$665*('_motor'!$E$586:$E$665&gt;'_motor'!$E$645))+(SUMPRODUCT('_motor'!$B$586:$B$665*('_motor'!$E$586:$E$665='_motor'!$E$645))+1)/2)</f>
        <v/>
      </c>
      <c r="E65" s="22">
        <f>IF('_motor'!$B$645=0,"",SUMPRODUCT('_motor'!$B$586:$B$665*('_motor'!$G$586:$G$665&gt;'_motor'!$G$645))+(SUMPRODUCT('_motor'!$B$586:$B$665*('_motor'!$G$586:$G$665='_motor'!$G$645))+1)/2)</f>
        <v/>
      </c>
      <c r="F65" s="22">
        <f>IF('_motor'!$B$645=0,"",SUMPRODUCT('_motor'!$B$586:$B$665*('_motor'!$I$586:$I$665&gt;'_motor'!$I$645))+(SUMPRODUCT('_motor'!$B$586:$B$665*('_motor'!$I$586:$I$665='_motor'!$I$645))+1)/2)</f>
        <v/>
      </c>
      <c r="G65" s="22">
        <f>IF('_motor'!$B$645=0,"",C65-D65)</f>
        <v/>
      </c>
      <c r="H65" s="22">
        <f>IF('_motor'!$B$645=0,"",C65-E65)</f>
        <v/>
      </c>
      <c r="I65" s="19">
        <f>IF('_motor'!$B$645=0,"",IF(AND(ABS('_motor'!$C$645-'_motor'!$B$668)&lt;='_motor'!$B$676+0.000000001,ABS('_motor'!$D$645-'_motor'!$B$668)&lt;='_motor'!$B$676+0.000000001),"5 · Pelotón (no concluyente)",IF(AND('_motor'!$C$645&gt;='_motor'!$B$668,'_motor'!$D$645&lt;'_motor'!$B$668),"1 · Entrada / determinante",IF(AND('_motor'!$C$645&gt;='_motor'!$B$668,'_motor'!$D$645&gt;='_motor'!$B$668),"2 · Intermedia / de enlace",IF(AND('_motor'!$C$645&lt;'_motor'!$B$668,'_motor'!$D$645&gt;='_motor'!$B$668),"3 · Resultado","4 · Excluida / autónoma")))))</f>
        <v/>
      </c>
      <c r="J65" s="19">
        <f>IF('_motor'!$B$645=0,"",IF(AND(ABS('_motor'!$I$645-'_motor'!$B$671)&lt;='_motor'!$B$679+0.000000001,ABS('_motor'!$J$645-'_motor'!$B$671)&lt;='_motor'!$B$679+0.000000001),"5 · Pelotón (no concluyente)",IF(AND('_motor'!$I$645&gt;='_motor'!$B$671,'_motor'!$J$645&lt;'_motor'!$B$671),"1 · Entrada / determinante",IF(AND('_motor'!$I$645&gt;='_motor'!$B$671,'_motor'!$J$645&gt;='_motor'!$B$671),"2 · Intermedia / de enlace",IF(AND('_motor'!$I$645&lt;'_motor'!$B$671,'_motor'!$J$645&gt;='_motor'!$B$671),"3 · Resultado","4 · Excluida / autónoma")))))</f>
        <v/>
      </c>
      <c r="K65" s="22">
        <f>IF('_motor'!$B$645=0,"",IF(LEFT(I65,1)=LEFT(J65,1),"No","SÍ"))</f>
        <v/>
      </c>
      <c r="L65" s="19">
        <f>IF('_motor'!$B$645=0,"",IF(AND(G65&gt;2,H65&gt;2),"Variable oculta y además latente: su peso real está muy infravalorado en la lectura directa. Prioridad máxima de seguimiento.",IF(G65&gt;2,"Variable oculta: gobierna el sistema a través de cadenas indirectas.",IF(H65&gt;2,"Variable latente: hoy es secundaria, pero ganará peso si las relaciones potenciales se materializan.",IF(AND(G65&lt;-2,H65&lt;-2),"Su importancia aparente en la lectura directa no se sostiene ni por vía indirecta ni potencial.","Comportamiento estable en las distintas clasificaciones.")))))</f>
        <v/>
      </c>
    </row>
    <row r="66" spans="1:12" x14ac:dyDescent="0.2">
      <c r="A66" s="21">
        <f>IF('_motor'!$B$646=0,"",'02 · Variables'!$B$67)</f>
        <v/>
      </c>
      <c r="B66" s="19">
        <f>IF('_motor'!$B$646=0,"",'02 · Variables'!$C$67)</f>
        <v/>
      </c>
      <c r="C66" s="22">
        <f>IF('_motor'!$B$646=0,"",SUMPRODUCT('_motor'!$B$586:$B$665*('_motor'!$C$586:$C$665&gt;'_motor'!$C$646))+(SUMPRODUCT('_motor'!$B$586:$B$665*('_motor'!$C$586:$C$665='_motor'!$C$646))+1)/2)</f>
        <v/>
      </c>
      <c r="D66" s="22">
        <f>IF('_motor'!$B$646=0,"",SUMPRODUCT('_motor'!$B$586:$B$665*('_motor'!$E$586:$E$665&gt;'_motor'!$E$646))+(SUMPRODUCT('_motor'!$B$586:$B$665*('_motor'!$E$586:$E$665='_motor'!$E$646))+1)/2)</f>
        <v/>
      </c>
      <c r="E66" s="22">
        <f>IF('_motor'!$B$646=0,"",SUMPRODUCT('_motor'!$B$586:$B$665*('_motor'!$G$586:$G$665&gt;'_motor'!$G$646))+(SUMPRODUCT('_motor'!$B$586:$B$665*('_motor'!$G$586:$G$665='_motor'!$G$646))+1)/2)</f>
        <v/>
      </c>
      <c r="F66" s="22">
        <f>IF('_motor'!$B$646=0,"",SUMPRODUCT('_motor'!$B$586:$B$665*('_motor'!$I$586:$I$665&gt;'_motor'!$I$646))+(SUMPRODUCT('_motor'!$B$586:$B$665*('_motor'!$I$586:$I$665='_motor'!$I$646))+1)/2)</f>
        <v/>
      </c>
      <c r="G66" s="22">
        <f>IF('_motor'!$B$646=0,"",C66-D66)</f>
        <v/>
      </c>
      <c r="H66" s="22">
        <f>IF('_motor'!$B$646=0,"",C66-E66)</f>
        <v/>
      </c>
      <c r="I66" s="19">
        <f>IF('_motor'!$B$646=0,"",IF(AND(ABS('_motor'!$C$646-'_motor'!$B$668)&lt;='_motor'!$B$676+0.000000001,ABS('_motor'!$D$646-'_motor'!$B$668)&lt;='_motor'!$B$676+0.000000001),"5 · Pelotón (no concluyente)",IF(AND('_motor'!$C$646&gt;='_motor'!$B$668,'_motor'!$D$646&lt;'_motor'!$B$668),"1 · Entrada / determinante",IF(AND('_motor'!$C$646&gt;='_motor'!$B$668,'_motor'!$D$646&gt;='_motor'!$B$668),"2 · Intermedia / de enlace",IF(AND('_motor'!$C$646&lt;'_motor'!$B$668,'_motor'!$D$646&gt;='_motor'!$B$668),"3 · Resultado","4 · Excluida / autónoma")))))</f>
        <v/>
      </c>
      <c r="J66" s="19">
        <f>IF('_motor'!$B$646=0,"",IF(AND(ABS('_motor'!$I$646-'_motor'!$B$671)&lt;='_motor'!$B$679+0.000000001,ABS('_motor'!$J$646-'_motor'!$B$671)&lt;='_motor'!$B$679+0.000000001),"5 · Pelotón (no concluyente)",IF(AND('_motor'!$I$646&gt;='_motor'!$B$671,'_motor'!$J$646&lt;'_motor'!$B$671),"1 · Entrada / determinante",IF(AND('_motor'!$I$646&gt;='_motor'!$B$671,'_motor'!$J$646&gt;='_motor'!$B$671),"2 · Intermedia / de enlace",IF(AND('_motor'!$I$646&lt;'_motor'!$B$671,'_motor'!$J$646&gt;='_motor'!$B$671),"3 · Resultado","4 · Excluida / autónoma")))))</f>
        <v/>
      </c>
      <c r="K66" s="22">
        <f>IF('_motor'!$B$646=0,"",IF(LEFT(I66,1)=LEFT(J66,1),"No","SÍ"))</f>
        <v/>
      </c>
      <c r="L66" s="19">
        <f>IF('_motor'!$B$646=0,"",IF(AND(G66&gt;2,H66&gt;2),"Variable oculta y además latente: su peso real está muy infravalorado en la lectura directa. Prioridad máxima de seguimiento.",IF(G66&gt;2,"Variable oculta: gobierna el sistema a través de cadenas indirectas.",IF(H66&gt;2,"Variable latente: hoy es secundaria, pero ganará peso si las relaciones potenciales se materializan.",IF(AND(G66&lt;-2,H66&lt;-2),"Su importancia aparente en la lectura directa no se sostiene ni por vía indirecta ni potencial.","Comportamiento estable en las distintas clasificaciones.")))))</f>
        <v/>
      </c>
    </row>
    <row r="67" spans="1:12" x14ac:dyDescent="0.2">
      <c r="A67" s="21">
        <f>IF('_motor'!$B$647=0,"",'02 · Variables'!$B$68)</f>
        <v/>
      </c>
      <c r="B67" s="19">
        <f>IF('_motor'!$B$647=0,"",'02 · Variables'!$C$68)</f>
        <v/>
      </c>
      <c r="C67" s="22">
        <f>IF('_motor'!$B$647=0,"",SUMPRODUCT('_motor'!$B$586:$B$665*('_motor'!$C$586:$C$665&gt;'_motor'!$C$647))+(SUMPRODUCT('_motor'!$B$586:$B$665*('_motor'!$C$586:$C$665='_motor'!$C$647))+1)/2)</f>
        <v/>
      </c>
      <c r="D67" s="22">
        <f>IF('_motor'!$B$647=0,"",SUMPRODUCT('_motor'!$B$586:$B$665*('_motor'!$E$586:$E$665&gt;'_motor'!$E$647))+(SUMPRODUCT('_motor'!$B$586:$B$665*('_motor'!$E$586:$E$665='_motor'!$E$647))+1)/2)</f>
        <v/>
      </c>
      <c r="E67" s="22">
        <f>IF('_motor'!$B$647=0,"",SUMPRODUCT('_motor'!$B$586:$B$665*('_motor'!$G$586:$G$665&gt;'_motor'!$G$647))+(SUMPRODUCT('_motor'!$B$586:$B$665*('_motor'!$G$586:$G$665='_motor'!$G$647))+1)/2)</f>
        <v/>
      </c>
      <c r="F67" s="22">
        <f>IF('_motor'!$B$647=0,"",SUMPRODUCT('_motor'!$B$586:$B$665*('_motor'!$I$586:$I$665&gt;'_motor'!$I$647))+(SUMPRODUCT('_motor'!$B$586:$B$665*('_motor'!$I$586:$I$665='_motor'!$I$647))+1)/2)</f>
        <v/>
      </c>
      <c r="G67" s="22">
        <f>IF('_motor'!$B$647=0,"",C67-D67)</f>
        <v/>
      </c>
      <c r="H67" s="22">
        <f>IF('_motor'!$B$647=0,"",C67-E67)</f>
        <v/>
      </c>
      <c r="I67" s="19">
        <f>IF('_motor'!$B$647=0,"",IF(AND(ABS('_motor'!$C$647-'_motor'!$B$668)&lt;='_motor'!$B$676+0.000000001,ABS('_motor'!$D$647-'_motor'!$B$668)&lt;='_motor'!$B$676+0.000000001),"5 · Pelotón (no concluyente)",IF(AND('_motor'!$C$647&gt;='_motor'!$B$668,'_motor'!$D$647&lt;'_motor'!$B$668),"1 · Entrada / determinante",IF(AND('_motor'!$C$647&gt;='_motor'!$B$668,'_motor'!$D$647&gt;='_motor'!$B$668),"2 · Intermedia / de enlace",IF(AND('_motor'!$C$647&lt;'_motor'!$B$668,'_motor'!$D$647&gt;='_motor'!$B$668),"3 · Resultado","4 · Excluida / autónoma")))))</f>
        <v/>
      </c>
      <c r="J67" s="19">
        <f>IF('_motor'!$B$647=0,"",IF(AND(ABS('_motor'!$I$647-'_motor'!$B$671)&lt;='_motor'!$B$679+0.000000001,ABS('_motor'!$J$647-'_motor'!$B$671)&lt;='_motor'!$B$679+0.000000001),"5 · Pelotón (no concluyente)",IF(AND('_motor'!$I$647&gt;='_motor'!$B$671,'_motor'!$J$647&lt;'_motor'!$B$671),"1 · Entrada / determinante",IF(AND('_motor'!$I$647&gt;='_motor'!$B$671,'_motor'!$J$647&gt;='_motor'!$B$671),"2 · Intermedia / de enlace",IF(AND('_motor'!$I$647&lt;'_motor'!$B$671,'_motor'!$J$647&gt;='_motor'!$B$671),"3 · Resultado","4 · Excluida / autónoma")))))</f>
        <v/>
      </c>
      <c r="K67" s="22">
        <f>IF('_motor'!$B$647=0,"",IF(LEFT(I67,1)=LEFT(J67,1),"No","SÍ"))</f>
        <v/>
      </c>
      <c r="L67" s="19">
        <f>IF('_motor'!$B$647=0,"",IF(AND(G67&gt;2,H67&gt;2),"Variable oculta y además latente: su peso real está muy infravalorado en la lectura directa. Prioridad máxima de seguimiento.",IF(G67&gt;2,"Variable oculta: gobierna el sistema a través de cadenas indirectas.",IF(H67&gt;2,"Variable latente: hoy es secundaria, pero ganará peso si las relaciones potenciales se materializan.",IF(AND(G67&lt;-2,H67&lt;-2),"Su importancia aparente en la lectura directa no se sostiene ni por vía indirecta ni potencial.","Comportamiento estable en las distintas clasificaciones.")))))</f>
        <v/>
      </c>
    </row>
    <row r="68" spans="1:12" x14ac:dyDescent="0.2">
      <c r="A68" s="21">
        <f>IF('_motor'!$B$648=0,"",'02 · Variables'!$B$69)</f>
        <v/>
      </c>
      <c r="B68" s="19">
        <f>IF('_motor'!$B$648=0,"",'02 · Variables'!$C$69)</f>
        <v/>
      </c>
      <c r="C68" s="22">
        <f>IF('_motor'!$B$648=0,"",SUMPRODUCT('_motor'!$B$586:$B$665*('_motor'!$C$586:$C$665&gt;'_motor'!$C$648))+(SUMPRODUCT('_motor'!$B$586:$B$665*('_motor'!$C$586:$C$665='_motor'!$C$648))+1)/2)</f>
        <v/>
      </c>
      <c r="D68" s="22">
        <f>IF('_motor'!$B$648=0,"",SUMPRODUCT('_motor'!$B$586:$B$665*('_motor'!$E$586:$E$665&gt;'_motor'!$E$648))+(SUMPRODUCT('_motor'!$B$586:$B$665*('_motor'!$E$586:$E$665='_motor'!$E$648))+1)/2)</f>
        <v/>
      </c>
      <c r="E68" s="22">
        <f>IF('_motor'!$B$648=0,"",SUMPRODUCT('_motor'!$B$586:$B$665*('_motor'!$G$586:$G$665&gt;'_motor'!$G$648))+(SUMPRODUCT('_motor'!$B$586:$B$665*('_motor'!$G$586:$G$665='_motor'!$G$648))+1)/2)</f>
        <v/>
      </c>
      <c r="F68" s="22">
        <f>IF('_motor'!$B$648=0,"",SUMPRODUCT('_motor'!$B$586:$B$665*('_motor'!$I$586:$I$665&gt;'_motor'!$I$648))+(SUMPRODUCT('_motor'!$B$586:$B$665*('_motor'!$I$586:$I$665='_motor'!$I$648))+1)/2)</f>
        <v/>
      </c>
      <c r="G68" s="22">
        <f>IF('_motor'!$B$648=0,"",C68-D68)</f>
        <v/>
      </c>
      <c r="H68" s="22">
        <f>IF('_motor'!$B$648=0,"",C68-E68)</f>
        <v/>
      </c>
      <c r="I68" s="19">
        <f>IF('_motor'!$B$648=0,"",IF(AND(ABS('_motor'!$C$648-'_motor'!$B$668)&lt;='_motor'!$B$676+0.000000001,ABS('_motor'!$D$648-'_motor'!$B$668)&lt;='_motor'!$B$676+0.000000001),"5 · Pelotón (no concluyente)",IF(AND('_motor'!$C$648&gt;='_motor'!$B$668,'_motor'!$D$648&lt;'_motor'!$B$668),"1 · Entrada / determinante",IF(AND('_motor'!$C$648&gt;='_motor'!$B$668,'_motor'!$D$648&gt;='_motor'!$B$668),"2 · Intermedia / de enlace",IF(AND('_motor'!$C$648&lt;'_motor'!$B$668,'_motor'!$D$648&gt;='_motor'!$B$668),"3 · Resultado","4 · Excluida / autónoma")))))</f>
        <v/>
      </c>
      <c r="J68" s="19">
        <f>IF('_motor'!$B$648=0,"",IF(AND(ABS('_motor'!$I$648-'_motor'!$B$671)&lt;='_motor'!$B$679+0.000000001,ABS('_motor'!$J$648-'_motor'!$B$671)&lt;='_motor'!$B$679+0.000000001),"5 · Pelotón (no concluyente)",IF(AND('_motor'!$I$648&gt;='_motor'!$B$671,'_motor'!$J$648&lt;'_motor'!$B$671),"1 · Entrada / determinante",IF(AND('_motor'!$I$648&gt;='_motor'!$B$671,'_motor'!$J$648&gt;='_motor'!$B$671),"2 · Intermedia / de enlace",IF(AND('_motor'!$I$648&lt;'_motor'!$B$671,'_motor'!$J$648&gt;='_motor'!$B$671),"3 · Resultado","4 · Excluida / autónoma")))))</f>
        <v/>
      </c>
      <c r="K68" s="22">
        <f>IF('_motor'!$B$648=0,"",IF(LEFT(I68,1)=LEFT(J68,1),"No","SÍ"))</f>
        <v/>
      </c>
      <c r="L68" s="19">
        <f>IF('_motor'!$B$648=0,"",IF(AND(G68&gt;2,H68&gt;2),"Variable oculta y además latente: su peso real está muy infravalorado en la lectura directa. Prioridad máxima de seguimiento.",IF(G68&gt;2,"Variable oculta: gobierna el sistema a través de cadenas indirectas.",IF(H68&gt;2,"Variable latente: hoy es secundaria, pero ganará peso si las relaciones potenciales se materializan.",IF(AND(G68&lt;-2,H68&lt;-2),"Su importancia aparente en la lectura directa no se sostiene ni por vía indirecta ni potencial.","Comportamiento estable en las distintas clasificaciones.")))))</f>
        <v/>
      </c>
    </row>
    <row r="69" spans="1:12" x14ac:dyDescent="0.2">
      <c r="A69" s="21">
        <f>IF('_motor'!$B$649=0,"",'02 · Variables'!$B$70)</f>
        <v/>
      </c>
      <c r="B69" s="19">
        <f>IF('_motor'!$B$649=0,"",'02 · Variables'!$C$70)</f>
        <v/>
      </c>
      <c r="C69" s="22">
        <f>IF('_motor'!$B$649=0,"",SUMPRODUCT('_motor'!$B$586:$B$665*('_motor'!$C$586:$C$665&gt;'_motor'!$C$649))+(SUMPRODUCT('_motor'!$B$586:$B$665*('_motor'!$C$586:$C$665='_motor'!$C$649))+1)/2)</f>
        <v/>
      </c>
      <c r="D69" s="22">
        <f>IF('_motor'!$B$649=0,"",SUMPRODUCT('_motor'!$B$586:$B$665*('_motor'!$E$586:$E$665&gt;'_motor'!$E$649))+(SUMPRODUCT('_motor'!$B$586:$B$665*('_motor'!$E$586:$E$665='_motor'!$E$649))+1)/2)</f>
        <v/>
      </c>
      <c r="E69" s="22">
        <f>IF('_motor'!$B$649=0,"",SUMPRODUCT('_motor'!$B$586:$B$665*('_motor'!$G$586:$G$665&gt;'_motor'!$G$649))+(SUMPRODUCT('_motor'!$B$586:$B$665*('_motor'!$G$586:$G$665='_motor'!$G$649))+1)/2)</f>
        <v/>
      </c>
      <c r="F69" s="22">
        <f>IF('_motor'!$B$649=0,"",SUMPRODUCT('_motor'!$B$586:$B$665*('_motor'!$I$586:$I$665&gt;'_motor'!$I$649))+(SUMPRODUCT('_motor'!$B$586:$B$665*('_motor'!$I$586:$I$665='_motor'!$I$649))+1)/2)</f>
        <v/>
      </c>
      <c r="G69" s="22">
        <f>IF('_motor'!$B$649=0,"",C69-D69)</f>
        <v/>
      </c>
      <c r="H69" s="22">
        <f>IF('_motor'!$B$649=0,"",C69-E69)</f>
        <v/>
      </c>
      <c r="I69" s="19">
        <f>IF('_motor'!$B$649=0,"",IF(AND(ABS('_motor'!$C$649-'_motor'!$B$668)&lt;='_motor'!$B$676+0.000000001,ABS('_motor'!$D$649-'_motor'!$B$668)&lt;='_motor'!$B$676+0.000000001),"5 · Pelotón (no concluyente)",IF(AND('_motor'!$C$649&gt;='_motor'!$B$668,'_motor'!$D$649&lt;'_motor'!$B$668),"1 · Entrada / determinante",IF(AND('_motor'!$C$649&gt;='_motor'!$B$668,'_motor'!$D$649&gt;='_motor'!$B$668),"2 · Intermedia / de enlace",IF(AND('_motor'!$C$649&lt;'_motor'!$B$668,'_motor'!$D$649&gt;='_motor'!$B$668),"3 · Resultado","4 · Excluida / autónoma")))))</f>
        <v/>
      </c>
      <c r="J69" s="19">
        <f>IF('_motor'!$B$649=0,"",IF(AND(ABS('_motor'!$I$649-'_motor'!$B$671)&lt;='_motor'!$B$679+0.000000001,ABS('_motor'!$J$649-'_motor'!$B$671)&lt;='_motor'!$B$679+0.000000001),"5 · Pelotón (no concluyente)",IF(AND('_motor'!$I$649&gt;='_motor'!$B$671,'_motor'!$J$649&lt;'_motor'!$B$671),"1 · Entrada / determinante",IF(AND('_motor'!$I$649&gt;='_motor'!$B$671,'_motor'!$J$649&gt;='_motor'!$B$671),"2 · Intermedia / de enlace",IF(AND('_motor'!$I$649&lt;'_motor'!$B$671,'_motor'!$J$649&gt;='_motor'!$B$671),"3 · Resultado","4 · Excluida / autónoma")))))</f>
        <v/>
      </c>
      <c r="K69" s="22">
        <f>IF('_motor'!$B$649=0,"",IF(LEFT(I69,1)=LEFT(J69,1),"No","SÍ"))</f>
        <v/>
      </c>
      <c r="L69" s="19">
        <f>IF('_motor'!$B$649=0,"",IF(AND(G69&gt;2,H69&gt;2),"Variable oculta y además latente: su peso real está muy infravalorado en la lectura directa. Prioridad máxima de seguimiento.",IF(G69&gt;2,"Variable oculta: gobierna el sistema a través de cadenas indirectas.",IF(H69&gt;2,"Variable latente: hoy es secundaria, pero ganará peso si las relaciones potenciales se materializan.",IF(AND(G69&lt;-2,H69&lt;-2),"Su importancia aparente en la lectura directa no se sostiene ni por vía indirecta ni potencial.","Comportamiento estable en las distintas clasificaciones.")))))</f>
        <v/>
      </c>
    </row>
    <row r="70" spans="1:12" x14ac:dyDescent="0.2">
      <c r="A70" s="21">
        <f>IF('_motor'!$B$650=0,"",'02 · Variables'!$B$71)</f>
        <v/>
      </c>
      <c r="B70" s="19">
        <f>IF('_motor'!$B$650=0,"",'02 · Variables'!$C$71)</f>
        <v/>
      </c>
      <c r="C70" s="22">
        <f>IF('_motor'!$B$650=0,"",SUMPRODUCT('_motor'!$B$586:$B$665*('_motor'!$C$586:$C$665&gt;'_motor'!$C$650))+(SUMPRODUCT('_motor'!$B$586:$B$665*('_motor'!$C$586:$C$665='_motor'!$C$650))+1)/2)</f>
        <v/>
      </c>
      <c r="D70" s="22">
        <f>IF('_motor'!$B$650=0,"",SUMPRODUCT('_motor'!$B$586:$B$665*('_motor'!$E$586:$E$665&gt;'_motor'!$E$650))+(SUMPRODUCT('_motor'!$B$586:$B$665*('_motor'!$E$586:$E$665='_motor'!$E$650))+1)/2)</f>
        <v/>
      </c>
      <c r="E70" s="22">
        <f>IF('_motor'!$B$650=0,"",SUMPRODUCT('_motor'!$B$586:$B$665*('_motor'!$G$586:$G$665&gt;'_motor'!$G$650))+(SUMPRODUCT('_motor'!$B$586:$B$665*('_motor'!$G$586:$G$665='_motor'!$G$650))+1)/2)</f>
        <v/>
      </c>
      <c r="F70" s="22">
        <f>IF('_motor'!$B$650=0,"",SUMPRODUCT('_motor'!$B$586:$B$665*('_motor'!$I$586:$I$665&gt;'_motor'!$I$650))+(SUMPRODUCT('_motor'!$B$586:$B$665*('_motor'!$I$586:$I$665='_motor'!$I$650))+1)/2)</f>
        <v/>
      </c>
      <c r="G70" s="22">
        <f>IF('_motor'!$B$650=0,"",C70-D70)</f>
        <v/>
      </c>
      <c r="H70" s="22">
        <f>IF('_motor'!$B$650=0,"",C70-E70)</f>
        <v/>
      </c>
      <c r="I70" s="19">
        <f>IF('_motor'!$B$650=0,"",IF(AND(ABS('_motor'!$C$650-'_motor'!$B$668)&lt;='_motor'!$B$676+0.000000001,ABS('_motor'!$D$650-'_motor'!$B$668)&lt;='_motor'!$B$676+0.000000001),"5 · Pelotón (no concluyente)",IF(AND('_motor'!$C$650&gt;='_motor'!$B$668,'_motor'!$D$650&lt;'_motor'!$B$668),"1 · Entrada / determinante",IF(AND('_motor'!$C$650&gt;='_motor'!$B$668,'_motor'!$D$650&gt;='_motor'!$B$668),"2 · Intermedia / de enlace",IF(AND('_motor'!$C$650&lt;'_motor'!$B$668,'_motor'!$D$650&gt;='_motor'!$B$668),"3 · Resultado","4 · Excluida / autónoma")))))</f>
        <v/>
      </c>
      <c r="J70" s="19">
        <f>IF('_motor'!$B$650=0,"",IF(AND(ABS('_motor'!$I$650-'_motor'!$B$671)&lt;='_motor'!$B$679+0.000000001,ABS('_motor'!$J$650-'_motor'!$B$671)&lt;='_motor'!$B$679+0.000000001),"5 · Pelotón (no concluyente)",IF(AND('_motor'!$I$650&gt;='_motor'!$B$671,'_motor'!$J$650&lt;'_motor'!$B$671),"1 · Entrada / determinante",IF(AND('_motor'!$I$650&gt;='_motor'!$B$671,'_motor'!$J$650&gt;='_motor'!$B$671),"2 · Intermedia / de enlace",IF(AND('_motor'!$I$650&lt;'_motor'!$B$671,'_motor'!$J$650&gt;='_motor'!$B$671),"3 · Resultado","4 · Excluida / autónoma")))))</f>
        <v/>
      </c>
      <c r="K70" s="22">
        <f>IF('_motor'!$B$650=0,"",IF(LEFT(I70,1)=LEFT(J70,1),"No","SÍ"))</f>
        <v/>
      </c>
      <c r="L70" s="19">
        <f>IF('_motor'!$B$650=0,"",IF(AND(G70&gt;2,H70&gt;2),"Variable oculta y además latente: su peso real está muy infravalorado en la lectura directa. Prioridad máxima de seguimiento.",IF(G70&gt;2,"Variable oculta: gobierna el sistema a través de cadenas indirectas.",IF(H70&gt;2,"Variable latente: hoy es secundaria, pero ganará peso si las relaciones potenciales se materializan.",IF(AND(G70&lt;-2,H70&lt;-2),"Su importancia aparente en la lectura directa no se sostiene ni por vía indirecta ni potencial.","Comportamiento estable en las distintas clasificaciones.")))))</f>
        <v/>
      </c>
    </row>
    <row r="71" spans="1:12" x14ac:dyDescent="0.2">
      <c r="A71" s="21">
        <f>IF('_motor'!$B$651=0,"",'02 · Variables'!$B$72)</f>
        <v/>
      </c>
      <c r="B71" s="19">
        <f>IF('_motor'!$B$651=0,"",'02 · Variables'!$C$72)</f>
        <v/>
      </c>
      <c r="C71" s="22">
        <f>IF('_motor'!$B$651=0,"",SUMPRODUCT('_motor'!$B$586:$B$665*('_motor'!$C$586:$C$665&gt;'_motor'!$C$651))+(SUMPRODUCT('_motor'!$B$586:$B$665*('_motor'!$C$586:$C$665='_motor'!$C$651))+1)/2)</f>
        <v/>
      </c>
      <c r="D71" s="22">
        <f>IF('_motor'!$B$651=0,"",SUMPRODUCT('_motor'!$B$586:$B$665*('_motor'!$E$586:$E$665&gt;'_motor'!$E$651))+(SUMPRODUCT('_motor'!$B$586:$B$665*('_motor'!$E$586:$E$665='_motor'!$E$651))+1)/2)</f>
        <v/>
      </c>
      <c r="E71" s="22">
        <f>IF('_motor'!$B$651=0,"",SUMPRODUCT('_motor'!$B$586:$B$665*('_motor'!$G$586:$G$665&gt;'_motor'!$G$651))+(SUMPRODUCT('_motor'!$B$586:$B$665*('_motor'!$G$586:$G$665='_motor'!$G$651))+1)/2)</f>
        <v/>
      </c>
      <c r="F71" s="22">
        <f>IF('_motor'!$B$651=0,"",SUMPRODUCT('_motor'!$B$586:$B$665*('_motor'!$I$586:$I$665&gt;'_motor'!$I$651))+(SUMPRODUCT('_motor'!$B$586:$B$665*('_motor'!$I$586:$I$665='_motor'!$I$651))+1)/2)</f>
        <v/>
      </c>
      <c r="G71" s="22">
        <f>IF('_motor'!$B$651=0,"",C71-D71)</f>
        <v/>
      </c>
      <c r="H71" s="22">
        <f>IF('_motor'!$B$651=0,"",C71-E71)</f>
        <v/>
      </c>
      <c r="I71" s="19">
        <f>IF('_motor'!$B$651=0,"",IF(AND(ABS('_motor'!$C$651-'_motor'!$B$668)&lt;='_motor'!$B$676+0.000000001,ABS('_motor'!$D$651-'_motor'!$B$668)&lt;='_motor'!$B$676+0.000000001),"5 · Pelotón (no concluyente)",IF(AND('_motor'!$C$651&gt;='_motor'!$B$668,'_motor'!$D$651&lt;'_motor'!$B$668),"1 · Entrada / determinante",IF(AND('_motor'!$C$651&gt;='_motor'!$B$668,'_motor'!$D$651&gt;='_motor'!$B$668),"2 · Intermedia / de enlace",IF(AND('_motor'!$C$651&lt;'_motor'!$B$668,'_motor'!$D$651&gt;='_motor'!$B$668),"3 · Resultado","4 · Excluida / autónoma")))))</f>
        <v/>
      </c>
      <c r="J71" s="19">
        <f>IF('_motor'!$B$651=0,"",IF(AND(ABS('_motor'!$I$651-'_motor'!$B$671)&lt;='_motor'!$B$679+0.000000001,ABS('_motor'!$J$651-'_motor'!$B$671)&lt;='_motor'!$B$679+0.000000001),"5 · Pelotón (no concluyente)",IF(AND('_motor'!$I$651&gt;='_motor'!$B$671,'_motor'!$J$651&lt;'_motor'!$B$671),"1 · Entrada / determinante",IF(AND('_motor'!$I$651&gt;='_motor'!$B$671,'_motor'!$J$651&gt;='_motor'!$B$671),"2 · Intermedia / de enlace",IF(AND('_motor'!$I$651&lt;'_motor'!$B$671,'_motor'!$J$651&gt;='_motor'!$B$671),"3 · Resultado","4 · Excluida / autónoma")))))</f>
        <v/>
      </c>
      <c r="K71" s="22">
        <f>IF('_motor'!$B$651=0,"",IF(LEFT(I71,1)=LEFT(J71,1),"No","SÍ"))</f>
        <v/>
      </c>
      <c r="L71" s="19">
        <f>IF('_motor'!$B$651=0,"",IF(AND(G71&gt;2,H71&gt;2),"Variable oculta y además latente: su peso real está muy infravalorado en la lectura directa. Prioridad máxima de seguimiento.",IF(G71&gt;2,"Variable oculta: gobierna el sistema a través de cadenas indirectas.",IF(H71&gt;2,"Variable latente: hoy es secundaria, pero ganará peso si las relaciones potenciales se materializan.",IF(AND(G71&lt;-2,H71&lt;-2),"Su importancia aparente en la lectura directa no se sostiene ni por vía indirecta ni potencial.","Comportamiento estable en las distintas clasificaciones.")))))</f>
        <v/>
      </c>
    </row>
    <row r="72" spans="1:12" x14ac:dyDescent="0.2">
      <c r="A72" s="21">
        <f>IF('_motor'!$B$652=0,"",'02 · Variables'!$B$73)</f>
        <v/>
      </c>
      <c r="B72" s="19">
        <f>IF('_motor'!$B$652=0,"",'02 · Variables'!$C$73)</f>
        <v/>
      </c>
      <c r="C72" s="22">
        <f>IF('_motor'!$B$652=0,"",SUMPRODUCT('_motor'!$B$586:$B$665*('_motor'!$C$586:$C$665&gt;'_motor'!$C$652))+(SUMPRODUCT('_motor'!$B$586:$B$665*('_motor'!$C$586:$C$665='_motor'!$C$652))+1)/2)</f>
        <v/>
      </c>
      <c r="D72" s="22">
        <f>IF('_motor'!$B$652=0,"",SUMPRODUCT('_motor'!$B$586:$B$665*('_motor'!$E$586:$E$665&gt;'_motor'!$E$652))+(SUMPRODUCT('_motor'!$B$586:$B$665*('_motor'!$E$586:$E$665='_motor'!$E$652))+1)/2)</f>
        <v/>
      </c>
      <c r="E72" s="22">
        <f>IF('_motor'!$B$652=0,"",SUMPRODUCT('_motor'!$B$586:$B$665*('_motor'!$G$586:$G$665&gt;'_motor'!$G$652))+(SUMPRODUCT('_motor'!$B$586:$B$665*('_motor'!$G$586:$G$665='_motor'!$G$652))+1)/2)</f>
        <v/>
      </c>
      <c r="F72" s="22">
        <f>IF('_motor'!$B$652=0,"",SUMPRODUCT('_motor'!$B$586:$B$665*('_motor'!$I$586:$I$665&gt;'_motor'!$I$652))+(SUMPRODUCT('_motor'!$B$586:$B$665*('_motor'!$I$586:$I$665='_motor'!$I$652))+1)/2)</f>
        <v/>
      </c>
      <c r="G72" s="22">
        <f>IF('_motor'!$B$652=0,"",C72-D72)</f>
        <v/>
      </c>
      <c r="H72" s="22">
        <f>IF('_motor'!$B$652=0,"",C72-E72)</f>
        <v/>
      </c>
      <c r="I72" s="19">
        <f>IF('_motor'!$B$652=0,"",IF(AND(ABS('_motor'!$C$652-'_motor'!$B$668)&lt;='_motor'!$B$676+0.000000001,ABS('_motor'!$D$652-'_motor'!$B$668)&lt;='_motor'!$B$676+0.000000001),"5 · Pelotón (no concluyente)",IF(AND('_motor'!$C$652&gt;='_motor'!$B$668,'_motor'!$D$652&lt;'_motor'!$B$668),"1 · Entrada / determinante",IF(AND('_motor'!$C$652&gt;='_motor'!$B$668,'_motor'!$D$652&gt;='_motor'!$B$668),"2 · Intermedia / de enlace",IF(AND('_motor'!$C$652&lt;'_motor'!$B$668,'_motor'!$D$652&gt;='_motor'!$B$668),"3 · Resultado","4 · Excluida / autónoma")))))</f>
        <v/>
      </c>
      <c r="J72" s="19">
        <f>IF('_motor'!$B$652=0,"",IF(AND(ABS('_motor'!$I$652-'_motor'!$B$671)&lt;='_motor'!$B$679+0.000000001,ABS('_motor'!$J$652-'_motor'!$B$671)&lt;='_motor'!$B$679+0.000000001),"5 · Pelotón (no concluyente)",IF(AND('_motor'!$I$652&gt;='_motor'!$B$671,'_motor'!$J$652&lt;'_motor'!$B$671),"1 · Entrada / determinante",IF(AND('_motor'!$I$652&gt;='_motor'!$B$671,'_motor'!$J$652&gt;='_motor'!$B$671),"2 · Intermedia / de enlace",IF(AND('_motor'!$I$652&lt;'_motor'!$B$671,'_motor'!$J$652&gt;='_motor'!$B$671),"3 · Resultado","4 · Excluida / autónoma")))))</f>
        <v/>
      </c>
      <c r="K72" s="22">
        <f>IF('_motor'!$B$652=0,"",IF(LEFT(I72,1)=LEFT(J72,1),"No","SÍ"))</f>
        <v/>
      </c>
      <c r="L72" s="19">
        <f>IF('_motor'!$B$652=0,"",IF(AND(G72&gt;2,H72&gt;2),"Variable oculta y además latente: su peso real está muy infravalorado en la lectura directa. Prioridad máxima de seguimiento.",IF(G72&gt;2,"Variable oculta: gobierna el sistema a través de cadenas indirectas.",IF(H72&gt;2,"Variable latente: hoy es secundaria, pero ganará peso si las relaciones potenciales se materializan.",IF(AND(G72&lt;-2,H72&lt;-2),"Su importancia aparente en la lectura directa no se sostiene ni por vía indirecta ni potencial.","Comportamiento estable en las distintas clasificaciones.")))))</f>
        <v/>
      </c>
    </row>
    <row r="73" spans="1:12" x14ac:dyDescent="0.2">
      <c r="A73" s="21">
        <f>IF('_motor'!$B$653=0,"",'02 · Variables'!$B$74)</f>
        <v/>
      </c>
      <c r="B73" s="19">
        <f>IF('_motor'!$B$653=0,"",'02 · Variables'!$C$74)</f>
        <v/>
      </c>
      <c r="C73" s="22">
        <f>IF('_motor'!$B$653=0,"",SUMPRODUCT('_motor'!$B$586:$B$665*('_motor'!$C$586:$C$665&gt;'_motor'!$C$653))+(SUMPRODUCT('_motor'!$B$586:$B$665*('_motor'!$C$586:$C$665='_motor'!$C$653))+1)/2)</f>
        <v/>
      </c>
      <c r="D73" s="22">
        <f>IF('_motor'!$B$653=0,"",SUMPRODUCT('_motor'!$B$586:$B$665*('_motor'!$E$586:$E$665&gt;'_motor'!$E$653))+(SUMPRODUCT('_motor'!$B$586:$B$665*('_motor'!$E$586:$E$665='_motor'!$E$653))+1)/2)</f>
        <v/>
      </c>
      <c r="E73" s="22">
        <f>IF('_motor'!$B$653=0,"",SUMPRODUCT('_motor'!$B$586:$B$665*('_motor'!$G$586:$G$665&gt;'_motor'!$G$653))+(SUMPRODUCT('_motor'!$B$586:$B$665*('_motor'!$G$586:$G$665='_motor'!$G$653))+1)/2)</f>
        <v/>
      </c>
      <c r="F73" s="22">
        <f>IF('_motor'!$B$653=0,"",SUMPRODUCT('_motor'!$B$586:$B$665*('_motor'!$I$586:$I$665&gt;'_motor'!$I$653))+(SUMPRODUCT('_motor'!$B$586:$B$665*('_motor'!$I$586:$I$665='_motor'!$I$653))+1)/2)</f>
        <v/>
      </c>
      <c r="G73" s="22">
        <f>IF('_motor'!$B$653=0,"",C73-D73)</f>
        <v/>
      </c>
      <c r="H73" s="22">
        <f>IF('_motor'!$B$653=0,"",C73-E73)</f>
        <v/>
      </c>
      <c r="I73" s="19">
        <f>IF('_motor'!$B$653=0,"",IF(AND(ABS('_motor'!$C$653-'_motor'!$B$668)&lt;='_motor'!$B$676+0.000000001,ABS('_motor'!$D$653-'_motor'!$B$668)&lt;='_motor'!$B$676+0.000000001),"5 · Pelotón (no concluyente)",IF(AND('_motor'!$C$653&gt;='_motor'!$B$668,'_motor'!$D$653&lt;'_motor'!$B$668),"1 · Entrada / determinante",IF(AND('_motor'!$C$653&gt;='_motor'!$B$668,'_motor'!$D$653&gt;='_motor'!$B$668),"2 · Intermedia / de enlace",IF(AND('_motor'!$C$653&lt;'_motor'!$B$668,'_motor'!$D$653&gt;='_motor'!$B$668),"3 · Resultado","4 · Excluida / autónoma")))))</f>
        <v/>
      </c>
      <c r="J73" s="19">
        <f>IF('_motor'!$B$653=0,"",IF(AND(ABS('_motor'!$I$653-'_motor'!$B$671)&lt;='_motor'!$B$679+0.000000001,ABS('_motor'!$J$653-'_motor'!$B$671)&lt;='_motor'!$B$679+0.000000001),"5 · Pelotón (no concluyente)",IF(AND('_motor'!$I$653&gt;='_motor'!$B$671,'_motor'!$J$653&lt;'_motor'!$B$671),"1 · Entrada / determinante",IF(AND('_motor'!$I$653&gt;='_motor'!$B$671,'_motor'!$J$653&gt;='_motor'!$B$671),"2 · Intermedia / de enlace",IF(AND('_motor'!$I$653&lt;'_motor'!$B$671,'_motor'!$J$653&gt;='_motor'!$B$671),"3 · Resultado","4 · Excluida / autónoma")))))</f>
        <v/>
      </c>
      <c r="K73" s="22">
        <f>IF('_motor'!$B$653=0,"",IF(LEFT(I73,1)=LEFT(J73,1),"No","SÍ"))</f>
        <v/>
      </c>
      <c r="L73" s="19">
        <f>IF('_motor'!$B$653=0,"",IF(AND(G73&gt;2,H73&gt;2),"Variable oculta y además latente: su peso real está muy infravalorado en la lectura directa. Prioridad máxima de seguimiento.",IF(G73&gt;2,"Variable oculta: gobierna el sistema a través de cadenas indirectas.",IF(H73&gt;2,"Variable latente: hoy es secundaria, pero ganará peso si las relaciones potenciales se materializan.",IF(AND(G73&lt;-2,H73&lt;-2),"Su importancia aparente en la lectura directa no se sostiene ni por vía indirecta ni potencial.","Comportamiento estable en las distintas clasificaciones.")))))</f>
        <v/>
      </c>
    </row>
    <row r="74" spans="1:12" x14ac:dyDescent="0.2">
      <c r="A74" s="21">
        <f>IF('_motor'!$B$654=0,"",'02 · Variables'!$B$75)</f>
        <v/>
      </c>
      <c r="B74" s="19">
        <f>IF('_motor'!$B$654=0,"",'02 · Variables'!$C$75)</f>
        <v/>
      </c>
      <c r="C74" s="22">
        <f>IF('_motor'!$B$654=0,"",SUMPRODUCT('_motor'!$B$586:$B$665*('_motor'!$C$586:$C$665&gt;'_motor'!$C$654))+(SUMPRODUCT('_motor'!$B$586:$B$665*('_motor'!$C$586:$C$665='_motor'!$C$654))+1)/2)</f>
        <v/>
      </c>
      <c r="D74" s="22">
        <f>IF('_motor'!$B$654=0,"",SUMPRODUCT('_motor'!$B$586:$B$665*('_motor'!$E$586:$E$665&gt;'_motor'!$E$654))+(SUMPRODUCT('_motor'!$B$586:$B$665*('_motor'!$E$586:$E$665='_motor'!$E$654))+1)/2)</f>
        <v/>
      </c>
      <c r="E74" s="22">
        <f>IF('_motor'!$B$654=0,"",SUMPRODUCT('_motor'!$B$586:$B$665*('_motor'!$G$586:$G$665&gt;'_motor'!$G$654))+(SUMPRODUCT('_motor'!$B$586:$B$665*('_motor'!$G$586:$G$665='_motor'!$G$654))+1)/2)</f>
        <v/>
      </c>
      <c r="F74" s="22">
        <f>IF('_motor'!$B$654=0,"",SUMPRODUCT('_motor'!$B$586:$B$665*('_motor'!$I$586:$I$665&gt;'_motor'!$I$654))+(SUMPRODUCT('_motor'!$B$586:$B$665*('_motor'!$I$586:$I$665='_motor'!$I$654))+1)/2)</f>
        <v/>
      </c>
      <c r="G74" s="22">
        <f>IF('_motor'!$B$654=0,"",C74-D74)</f>
        <v/>
      </c>
      <c r="H74" s="22">
        <f>IF('_motor'!$B$654=0,"",C74-E74)</f>
        <v/>
      </c>
      <c r="I74" s="19">
        <f>IF('_motor'!$B$654=0,"",IF(AND(ABS('_motor'!$C$654-'_motor'!$B$668)&lt;='_motor'!$B$676+0.000000001,ABS('_motor'!$D$654-'_motor'!$B$668)&lt;='_motor'!$B$676+0.000000001),"5 · Pelotón (no concluyente)",IF(AND('_motor'!$C$654&gt;='_motor'!$B$668,'_motor'!$D$654&lt;'_motor'!$B$668),"1 · Entrada / determinante",IF(AND('_motor'!$C$654&gt;='_motor'!$B$668,'_motor'!$D$654&gt;='_motor'!$B$668),"2 · Intermedia / de enlace",IF(AND('_motor'!$C$654&lt;'_motor'!$B$668,'_motor'!$D$654&gt;='_motor'!$B$668),"3 · Resultado","4 · Excluida / autónoma")))))</f>
        <v/>
      </c>
      <c r="J74" s="19">
        <f>IF('_motor'!$B$654=0,"",IF(AND(ABS('_motor'!$I$654-'_motor'!$B$671)&lt;='_motor'!$B$679+0.000000001,ABS('_motor'!$J$654-'_motor'!$B$671)&lt;='_motor'!$B$679+0.000000001),"5 · Pelotón (no concluyente)",IF(AND('_motor'!$I$654&gt;='_motor'!$B$671,'_motor'!$J$654&lt;'_motor'!$B$671),"1 · Entrada / determinante",IF(AND('_motor'!$I$654&gt;='_motor'!$B$671,'_motor'!$J$654&gt;='_motor'!$B$671),"2 · Intermedia / de enlace",IF(AND('_motor'!$I$654&lt;'_motor'!$B$671,'_motor'!$J$654&gt;='_motor'!$B$671),"3 · Resultado","4 · Excluida / autónoma")))))</f>
        <v/>
      </c>
      <c r="K74" s="22">
        <f>IF('_motor'!$B$654=0,"",IF(LEFT(I74,1)=LEFT(J74,1),"No","SÍ"))</f>
        <v/>
      </c>
      <c r="L74" s="19">
        <f>IF('_motor'!$B$654=0,"",IF(AND(G74&gt;2,H74&gt;2),"Variable oculta y además latente: su peso real está muy infravalorado en la lectura directa. Prioridad máxima de seguimiento.",IF(G74&gt;2,"Variable oculta: gobierna el sistema a través de cadenas indirectas.",IF(H74&gt;2,"Variable latente: hoy es secundaria, pero ganará peso si las relaciones potenciales se materializan.",IF(AND(G74&lt;-2,H74&lt;-2),"Su importancia aparente en la lectura directa no se sostiene ni por vía indirecta ni potencial.","Comportamiento estable en las distintas clasificaciones.")))))</f>
        <v/>
      </c>
    </row>
    <row r="75" spans="1:12" x14ac:dyDescent="0.2">
      <c r="A75" s="21">
        <f>IF('_motor'!$B$655=0,"",'02 · Variables'!$B$76)</f>
        <v/>
      </c>
      <c r="B75" s="19">
        <f>IF('_motor'!$B$655=0,"",'02 · Variables'!$C$76)</f>
        <v/>
      </c>
      <c r="C75" s="22">
        <f>IF('_motor'!$B$655=0,"",SUMPRODUCT('_motor'!$B$586:$B$665*('_motor'!$C$586:$C$665&gt;'_motor'!$C$655))+(SUMPRODUCT('_motor'!$B$586:$B$665*('_motor'!$C$586:$C$665='_motor'!$C$655))+1)/2)</f>
        <v/>
      </c>
      <c r="D75" s="22">
        <f>IF('_motor'!$B$655=0,"",SUMPRODUCT('_motor'!$B$586:$B$665*('_motor'!$E$586:$E$665&gt;'_motor'!$E$655))+(SUMPRODUCT('_motor'!$B$586:$B$665*('_motor'!$E$586:$E$665='_motor'!$E$655))+1)/2)</f>
        <v/>
      </c>
      <c r="E75" s="22">
        <f>IF('_motor'!$B$655=0,"",SUMPRODUCT('_motor'!$B$586:$B$665*('_motor'!$G$586:$G$665&gt;'_motor'!$G$655))+(SUMPRODUCT('_motor'!$B$586:$B$665*('_motor'!$G$586:$G$665='_motor'!$G$655))+1)/2)</f>
        <v/>
      </c>
      <c r="F75" s="22">
        <f>IF('_motor'!$B$655=0,"",SUMPRODUCT('_motor'!$B$586:$B$665*('_motor'!$I$586:$I$665&gt;'_motor'!$I$655))+(SUMPRODUCT('_motor'!$B$586:$B$665*('_motor'!$I$586:$I$665='_motor'!$I$655))+1)/2)</f>
        <v/>
      </c>
      <c r="G75" s="22">
        <f>IF('_motor'!$B$655=0,"",C75-D75)</f>
        <v/>
      </c>
      <c r="H75" s="22">
        <f>IF('_motor'!$B$655=0,"",C75-E75)</f>
        <v/>
      </c>
      <c r="I75" s="19">
        <f>IF('_motor'!$B$655=0,"",IF(AND(ABS('_motor'!$C$655-'_motor'!$B$668)&lt;='_motor'!$B$676+0.000000001,ABS('_motor'!$D$655-'_motor'!$B$668)&lt;='_motor'!$B$676+0.000000001),"5 · Pelotón (no concluyente)",IF(AND('_motor'!$C$655&gt;='_motor'!$B$668,'_motor'!$D$655&lt;'_motor'!$B$668),"1 · Entrada / determinante",IF(AND('_motor'!$C$655&gt;='_motor'!$B$668,'_motor'!$D$655&gt;='_motor'!$B$668),"2 · Intermedia / de enlace",IF(AND('_motor'!$C$655&lt;'_motor'!$B$668,'_motor'!$D$655&gt;='_motor'!$B$668),"3 · Resultado","4 · Excluida / autónoma")))))</f>
        <v/>
      </c>
      <c r="J75" s="19">
        <f>IF('_motor'!$B$655=0,"",IF(AND(ABS('_motor'!$I$655-'_motor'!$B$671)&lt;='_motor'!$B$679+0.000000001,ABS('_motor'!$J$655-'_motor'!$B$671)&lt;='_motor'!$B$679+0.000000001),"5 · Pelotón (no concluyente)",IF(AND('_motor'!$I$655&gt;='_motor'!$B$671,'_motor'!$J$655&lt;'_motor'!$B$671),"1 · Entrada / determinante",IF(AND('_motor'!$I$655&gt;='_motor'!$B$671,'_motor'!$J$655&gt;='_motor'!$B$671),"2 · Intermedia / de enlace",IF(AND('_motor'!$I$655&lt;'_motor'!$B$671,'_motor'!$J$655&gt;='_motor'!$B$671),"3 · Resultado","4 · Excluida / autónoma")))))</f>
        <v/>
      </c>
      <c r="K75" s="22">
        <f>IF('_motor'!$B$655=0,"",IF(LEFT(I75,1)=LEFT(J75,1),"No","SÍ"))</f>
        <v/>
      </c>
      <c r="L75" s="19">
        <f>IF('_motor'!$B$655=0,"",IF(AND(G75&gt;2,H75&gt;2),"Variable oculta y además latente: su peso real está muy infravalorado en la lectura directa. Prioridad máxima de seguimiento.",IF(G75&gt;2,"Variable oculta: gobierna el sistema a través de cadenas indirectas.",IF(H75&gt;2,"Variable latente: hoy es secundaria, pero ganará peso si las relaciones potenciales se materializan.",IF(AND(G75&lt;-2,H75&lt;-2),"Su importancia aparente en la lectura directa no se sostiene ni por vía indirecta ni potencial.","Comportamiento estable en las distintas clasificaciones.")))))</f>
        <v/>
      </c>
    </row>
    <row r="76" spans="1:12" x14ac:dyDescent="0.2">
      <c r="A76" s="21">
        <f>IF('_motor'!$B$656=0,"",'02 · Variables'!$B$77)</f>
        <v/>
      </c>
      <c r="B76" s="19">
        <f>IF('_motor'!$B$656=0,"",'02 · Variables'!$C$77)</f>
        <v/>
      </c>
      <c r="C76" s="22">
        <f>IF('_motor'!$B$656=0,"",SUMPRODUCT('_motor'!$B$586:$B$665*('_motor'!$C$586:$C$665&gt;'_motor'!$C$656))+(SUMPRODUCT('_motor'!$B$586:$B$665*('_motor'!$C$586:$C$665='_motor'!$C$656))+1)/2)</f>
        <v/>
      </c>
      <c r="D76" s="22">
        <f>IF('_motor'!$B$656=0,"",SUMPRODUCT('_motor'!$B$586:$B$665*('_motor'!$E$586:$E$665&gt;'_motor'!$E$656))+(SUMPRODUCT('_motor'!$B$586:$B$665*('_motor'!$E$586:$E$665='_motor'!$E$656))+1)/2)</f>
        <v/>
      </c>
      <c r="E76" s="22">
        <f>IF('_motor'!$B$656=0,"",SUMPRODUCT('_motor'!$B$586:$B$665*('_motor'!$G$586:$G$665&gt;'_motor'!$G$656))+(SUMPRODUCT('_motor'!$B$586:$B$665*('_motor'!$G$586:$G$665='_motor'!$G$656))+1)/2)</f>
        <v/>
      </c>
      <c r="F76" s="22">
        <f>IF('_motor'!$B$656=0,"",SUMPRODUCT('_motor'!$B$586:$B$665*('_motor'!$I$586:$I$665&gt;'_motor'!$I$656))+(SUMPRODUCT('_motor'!$B$586:$B$665*('_motor'!$I$586:$I$665='_motor'!$I$656))+1)/2)</f>
        <v/>
      </c>
      <c r="G76" s="22">
        <f>IF('_motor'!$B$656=0,"",C76-D76)</f>
        <v/>
      </c>
      <c r="H76" s="22">
        <f>IF('_motor'!$B$656=0,"",C76-E76)</f>
        <v/>
      </c>
      <c r="I76" s="19">
        <f>IF('_motor'!$B$656=0,"",IF(AND(ABS('_motor'!$C$656-'_motor'!$B$668)&lt;='_motor'!$B$676+0.000000001,ABS('_motor'!$D$656-'_motor'!$B$668)&lt;='_motor'!$B$676+0.000000001),"5 · Pelotón (no concluyente)",IF(AND('_motor'!$C$656&gt;='_motor'!$B$668,'_motor'!$D$656&lt;'_motor'!$B$668),"1 · Entrada / determinante",IF(AND('_motor'!$C$656&gt;='_motor'!$B$668,'_motor'!$D$656&gt;='_motor'!$B$668),"2 · Intermedia / de enlace",IF(AND('_motor'!$C$656&lt;'_motor'!$B$668,'_motor'!$D$656&gt;='_motor'!$B$668),"3 · Resultado","4 · Excluida / autónoma")))))</f>
        <v/>
      </c>
      <c r="J76" s="19">
        <f>IF('_motor'!$B$656=0,"",IF(AND(ABS('_motor'!$I$656-'_motor'!$B$671)&lt;='_motor'!$B$679+0.000000001,ABS('_motor'!$J$656-'_motor'!$B$671)&lt;='_motor'!$B$679+0.000000001),"5 · Pelotón (no concluyente)",IF(AND('_motor'!$I$656&gt;='_motor'!$B$671,'_motor'!$J$656&lt;'_motor'!$B$671),"1 · Entrada / determinante",IF(AND('_motor'!$I$656&gt;='_motor'!$B$671,'_motor'!$J$656&gt;='_motor'!$B$671),"2 · Intermedia / de enlace",IF(AND('_motor'!$I$656&lt;'_motor'!$B$671,'_motor'!$J$656&gt;='_motor'!$B$671),"3 · Resultado","4 · Excluida / autónoma")))))</f>
        <v/>
      </c>
      <c r="K76" s="22">
        <f>IF('_motor'!$B$656=0,"",IF(LEFT(I76,1)=LEFT(J76,1),"No","SÍ"))</f>
        <v/>
      </c>
      <c r="L76" s="19">
        <f>IF('_motor'!$B$656=0,"",IF(AND(G76&gt;2,H76&gt;2),"Variable oculta y además latente: su peso real está muy infravalorado en la lectura directa. Prioridad máxima de seguimiento.",IF(G76&gt;2,"Variable oculta: gobierna el sistema a través de cadenas indirectas.",IF(H76&gt;2,"Variable latente: hoy es secundaria, pero ganará peso si las relaciones potenciales se materializan.",IF(AND(G76&lt;-2,H76&lt;-2),"Su importancia aparente en la lectura directa no se sostiene ni por vía indirecta ni potencial.","Comportamiento estable en las distintas clasificaciones.")))))</f>
        <v/>
      </c>
    </row>
    <row r="77" spans="1:12" x14ac:dyDescent="0.2">
      <c r="A77" s="21">
        <f>IF('_motor'!$B$657=0,"",'02 · Variables'!$B$78)</f>
        <v/>
      </c>
      <c r="B77" s="19">
        <f>IF('_motor'!$B$657=0,"",'02 · Variables'!$C$78)</f>
        <v/>
      </c>
      <c r="C77" s="22">
        <f>IF('_motor'!$B$657=0,"",SUMPRODUCT('_motor'!$B$586:$B$665*('_motor'!$C$586:$C$665&gt;'_motor'!$C$657))+(SUMPRODUCT('_motor'!$B$586:$B$665*('_motor'!$C$586:$C$665='_motor'!$C$657))+1)/2)</f>
        <v/>
      </c>
      <c r="D77" s="22">
        <f>IF('_motor'!$B$657=0,"",SUMPRODUCT('_motor'!$B$586:$B$665*('_motor'!$E$586:$E$665&gt;'_motor'!$E$657))+(SUMPRODUCT('_motor'!$B$586:$B$665*('_motor'!$E$586:$E$665='_motor'!$E$657))+1)/2)</f>
        <v/>
      </c>
      <c r="E77" s="22">
        <f>IF('_motor'!$B$657=0,"",SUMPRODUCT('_motor'!$B$586:$B$665*('_motor'!$G$586:$G$665&gt;'_motor'!$G$657))+(SUMPRODUCT('_motor'!$B$586:$B$665*('_motor'!$G$586:$G$665='_motor'!$G$657))+1)/2)</f>
        <v/>
      </c>
      <c r="F77" s="22">
        <f>IF('_motor'!$B$657=0,"",SUMPRODUCT('_motor'!$B$586:$B$665*('_motor'!$I$586:$I$665&gt;'_motor'!$I$657))+(SUMPRODUCT('_motor'!$B$586:$B$665*('_motor'!$I$586:$I$665='_motor'!$I$657))+1)/2)</f>
        <v/>
      </c>
      <c r="G77" s="22">
        <f>IF('_motor'!$B$657=0,"",C77-D77)</f>
        <v/>
      </c>
      <c r="H77" s="22">
        <f>IF('_motor'!$B$657=0,"",C77-E77)</f>
        <v/>
      </c>
      <c r="I77" s="19">
        <f>IF('_motor'!$B$657=0,"",IF(AND(ABS('_motor'!$C$657-'_motor'!$B$668)&lt;='_motor'!$B$676+0.000000001,ABS('_motor'!$D$657-'_motor'!$B$668)&lt;='_motor'!$B$676+0.000000001),"5 · Pelotón (no concluyente)",IF(AND('_motor'!$C$657&gt;='_motor'!$B$668,'_motor'!$D$657&lt;'_motor'!$B$668),"1 · Entrada / determinante",IF(AND('_motor'!$C$657&gt;='_motor'!$B$668,'_motor'!$D$657&gt;='_motor'!$B$668),"2 · Intermedia / de enlace",IF(AND('_motor'!$C$657&lt;'_motor'!$B$668,'_motor'!$D$657&gt;='_motor'!$B$668),"3 · Resultado","4 · Excluida / autónoma")))))</f>
        <v/>
      </c>
      <c r="J77" s="19">
        <f>IF('_motor'!$B$657=0,"",IF(AND(ABS('_motor'!$I$657-'_motor'!$B$671)&lt;='_motor'!$B$679+0.000000001,ABS('_motor'!$J$657-'_motor'!$B$671)&lt;='_motor'!$B$679+0.000000001),"5 · Pelotón (no concluyente)",IF(AND('_motor'!$I$657&gt;='_motor'!$B$671,'_motor'!$J$657&lt;'_motor'!$B$671),"1 · Entrada / determinante",IF(AND('_motor'!$I$657&gt;='_motor'!$B$671,'_motor'!$J$657&gt;='_motor'!$B$671),"2 · Intermedia / de enlace",IF(AND('_motor'!$I$657&lt;'_motor'!$B$671,'_motor'!$J$657&gt;='_motor'!$B$671),"3 · Resultado","4 · Excluida / autónoma")))))</f>
        <v/>
      </c>
      <c r="K77" s="22">
        <f>IF('_motor'!$B$657=0,"",IF(LEFT(I77,1)=LEFT(J77,1),"No","SÍ"))</f>
        <v/>
      </c>
      <c r="L77" s="19">
        <f>IF('_motor'!$B$657=0,"",IF(AND(G77&gt;2,H77&gt;2),"Variable oculta y además latente: su peso real está muy infravalorado en la lectura directa. Prioridad máxima de seguimiento.",IF(G77&gt;2,"Variable oculta: gobierna el sistema a través de cadenas indirectas.",IF(H77&gt;2,"Variable latente: hoy es secundaria, pero ganará peso si las relaciones potenciales se materializan.",IF(AND(G77&lt;-2,H77&lt;-2),"Su importancia aparente en la lectura directa no se sostiene ni por vía indirecta ni potencial.","Comportamiento estable en las distintas clasificaciones.")))))</f>
        <v/>
      </c>
    </row>
    <row r="78" spans="1:12" x14ac:dyDescent="0.2">
      <c r="A78" s="21">
        <f>IF('_motor'!$B$658=0,"",'02 · Variables'!$B$79)</f>
        <v/>
      </c>
      <c r="B78" s="19">
        <f>IF('_motor'!$B$658=0,"",'02 · Variables'!$C$79)</f>
        <v/>
      </c>
      <c r="C78" s="22">
        <f>IF('_motor'!$B$658=0,"",SUMPRODUCT('_motor'!$B$586:$B$665*('_motor'!$C$586:$C$665&gt;'_motor'!$C$658))+(SUMPRODUCT('_motor'!$B$586:$B$665*('_motor'!$C$586:$C$665='_motor'!$C$658))+1)/2)</f>
        <v/>
      </c>
      <c r="D78" s="22">
        <f>IF('_motor'!$B$658=0,"",SUMPRODUCT('_motor'!$B$586:$B$665*('_motor'!$E$586:$E$665&gt;'_motor'!$E$658))+(SUMPRODUCT('_motor'!$B$586:$B$665*('_motor'!$E$586:$E$665='_motor'!$E$658))+1)/2)</f>
        <v/>
      </c>
      <c r="E78" s="22">
        <f>IF('_motor'!$B$658=0,"",SUMPRODUCT('_motor'!$B$586:$B$665*('_motor'!$G$586:$G$665&gt;'_motor'!$G$658))+(SUMPRODUCT('_motor'!$B$586:$B$665*('_motor'!$G$586:$G$665='_motor'!$G$658))+1)/2)</f>
        <v/>
      </c>
      <c r="F78" s="22">
        <f>IF('_motor'!$B$658=0,"",SUMPRODUCT('_motor'!$B$586:$B$665*('_motor'!$I$586:$I$665&gt;'_motor'!$I$658))+(SUMPRODUCT('_motor'!$B$586:$B$665*('_motor'!$I$586:$I$665='_motor'!$I$658))+1)/2)</f>
        <v/>
      </c>
      <c r="G78" s="22">
        <f>IF('_motor'!$B$658=0,"",C78-D78)</f>
        <v/>
      </c>
      <c r="H78" s="22">
        <f>IF('_motor'!$B$658=0,"",C78-E78)</f>
        <v/>
      </c>
      <c r="I78" s="19">
        <f>IF('_motor'!$B$658=0,"",IF(AND(ABS('_motor'!$C$658-'_motor'!$B$668)&lt;='_motor'!$B$676+0.000000001,ABS('_motor'!$D$658-'_motor'!$B$668)&lt;='_motor'!$B$676+0.000000001),"5 · Pelotón (no concluyente)",IF(AND('_motor'!$C$658&gt;='_motor'!$B$668,'_motor'!$D$658&lt;'_motor'!$B$668),"1 · Entrada / determinante",IF(AND('_motor'!$C$658&gt;='_motor'!$B$668,'_motor'!$D$658&gt;='_motor'!$B$668),"2 · Intermedia / de enlace",IF(AND('_motor'!$C$658&lt;'_motor'!$B$668,'_motor'!$D$658&gt;='_motor'!$B$668),"3 · Resultado","4 · Excluida / autónoma")))))</f>
        <v/>
      </c>
      <c r="J78" s="19">
        <f>IF('_motor'!$B$658=0,"",IF(AND(ABS('_motor'!$I$658-'_motor'!$B$671)&lt;='_motor'!$B$679+0.000000001,ABS('_motor'!$J$658-'_motor'!$B$671)&lt;='_motor'!$B$679+0.000000001),"5 · Pelotón (no concluyente)",IF(AND('_motor'!$I$658&gt;='_motor'!$B$671,'_motor'!$J$658&lt;'_motor'!$B$671),"1 · Entrada / determinante",IF(AND('_motor'!$I$658&gt;='_motor'!$B$671,'_motor'!$J$658&gt;='_motor'!$B$671),"2 · Intermedia / de enlace",IF(AND('_motor'!$I$658&lt;'_motor'!$B$671,'_motor'!$J$658&gt;='_motor'!$B$671),"3 · Resultado","4 · Excluida / autónoma")))))</f>
        <v/>
      </c>
      <c r="K78" s="22">
        <f>IF('_motor'!$B$658=0,"",IF(LEFT(I78,1)=LEFT(J78,1),"No","SÍ"))</f>
        <v/>
      </c>
      <c r="L78" s="19">
        <f>IF('_motor'!$B$658=0,"",IF(AND(G78&gt;2,H78&gt;2),"Variable oculta y además latente: su peso real está muy infravalorado en la lectura directa. Prioridad máxima de seguimiento.",IF(G78&gt;2,"Variable oculta: gobierna el sistema a través de cadenas indirectas.",IF(H78&gt;2,"Variable latente: hoy es secundaria, pero ganará peso si las relaciones potenciales se materializan.",IF(AND(G78&lt;-2,H78&lt;-2),"Su importancia aparente en la lectura directa no se sostiene ni por vía indirecta ni potencial.","Comportamiento estable en las distintas clasificaciones.")))))</f>
        <v/>
      </c>
    </row>
    <row r="79" spans="1:12" x14ac:dyDescent="0.2">
      <c r="A79" s="21">
        <f>IF('_motor'!$B$659=0,"",'02 · Variables'!$B$80)</f>
        <v/>
      </c>
      <c r="B79" s="19">
        <f>IF('_motor'!$B$659=0,"",'02 · Variables'!$C$80)</f>
        <v/>
      </c>
      <c r="C79" s="22">
        <f>IF('_motor'!$B$659=0,"",SUMPRODUCT('_motor'!$B$586:$B$665*('_motor'!$C$586:$C$665&gt;'_motor'!$C$659))+(SUMPRODUCT('_motor'!$B$586:$B$665*('_motor'!$C$586:$C$665='_motor'!$C$659))+1)/2)</f>
        <v/>
      </c>
      <c r="D79" s="22">
        <f>IF('_motor'!$B$659=0,"",SUMPRODUCT('_motor'!$B$586:$B$665*('_motor'!$E$586:$E$665&gt;'_motor'!$E$659))+(SUMPRODUCT('_motor'!$B$586:$B$665*('_motor'!$E$586:$E$665='_motor'!$E$659))+1)/2)</f>
        <v/>
      </c>
      <c r="E79" s="22">
        <f>IF('_motor'!$B$659=0,"",SUMPRODUCT('_motor'!$B$586:$B$665*('_motor'!$G$586:$G$665&gt;'_motor'!$G$659))+(SUMPRODUCT('_motor'!$B$586:$B$665*('_motor'!$G$586:$G$665='_motor'!$G$659))+1)/2)</f>
        <v/>
      </c>
      <c r="F79" s="22">
        <f>IF('_motor'!$B$659=0,"",SUMPRODUCT('_motor'!$B$586:$B$665*('_motor'!$I$586:$I$665&gt;'_motor'!$I$659))+(SUMPRODUCT('_motor'!$B$586:$B$665*('_motor'!$I$586:$I$665='_motor'!$I$659))+1)/2)</f>
        <v/>
      </c>
      <c r="G79" s="22">
        <f>IF('_motor'!$B$659=0,"",C79-D79)</f>
        <v/>
      </c>
      <c r="H79" s="22">
        <f>IF('_motor'!$B$659=0,"",C79-E79)</f>
        <v/>
      </c>
      <c r="I79" s="19">
        <f>IF('_motor'!$B$659=0,"",IF(AND(ABS('_motor'!$C$659-'_motor'!$B$668)&lt;='_motor'!$B$676+0.000000001,ABS('_motor'!$D$659-'_motor'!$B$668)&lt;='_motor'!$B$676+0.000000001),"5 · Pelotón (no concluyente)",IF(AND('_motor'!$C$659&gt;='_motor'!$B$668,'_motor'!$D$659&lt;'_motor'!$B$668),"1 · Entrada / determinante",IF(AND('_motor'!$C$659&gt;='_motor'!$B$668,'_motor'!$D$659&gt;='_motor'!$B$668),"2 · Intermedia / de enlace",IF(AND('_motor'!$C$659&lt;'_motor'!$B$668,'_motor'!$D$659&gt;='_motor'!$B$668),"3 · Resultado","4 · Excluida / autónoma")))))</f>
        <v/>
      </c>
      <c r="J79" s="19">
        <f>IF('_motor'!$B$659=0,"",IF(AND(ABS('_motor'!$I$659-'_motor'!$B$671)&lt;='_motor'!$B$679+0.000000001,ABS('_motor'!$J$659-'_motor'!$B$671)&lt;='_motor'!$B$679+0.000000001),"5 · Pelotón (no concluyente)",IF(AND('_motor'!$I$659&gt;='_motor'!$B$671,'_motor'!$J$659&lt;'_motor'!$B$671),"1 · Entrada / determinante",IF(AND('_motor'!$I$659&gt;='_motor'!$B$671,'_motor'!$J$659&gt;='_motor'!$B$671),"2 · Intermedia / de enlace",IF(AND('_motor'!$I$659&lt;'_motor'!$B$671,'_motor'!$J$659&gt;='_motor'!$B$671),"3 · Resultado","4 · Excluida / autónoma")))))</f>
        <v/>
      </c>
      <c r="K79" s="22">
        <f>IF('_motor'!$B$659=0,"",IF(LEFT(I79,1)=LEFT(J79,1),"No","SÍ"))</f>
        <v/>
      </c>
      <c r="L79" s="19">
        <f>IF('_motor'!$B$659=0,"",IF(AND(G79&gt;2,H79&gt;2),"Variable oculta y además latente: su peso real está muy infravalorado en la lectura directa. Prioridad máxima de seguimiento.",IF(G79&gt;2,"Variable oculta: gobierna el sistema a través de cadenas indirectas.",IF(H79&gt;2,"Variable latente: hoy es secundaria, pero ganará peso si las relaciones potenciales se materializan.",IF(AND(G79&lt;-2,H79&lt;-2),"Su importancia aparente en la lectura directa no se sostiene ni por vía indirecta ni potencial.","Comportamiento estable en las distintas clasificaciones.")))))</f>
        <v/>
      </c>
    </row>
    <row r="80" spans="1:12" x14ac:dyDescent="0.2">
      <c r="A80" s="21">
        <f>IF('_motor'!$B$660=0,"",'02 · Variables'!$B$81)</f>
        <v/>
      </c>
      <c r="B80" s="19">
        <f>IF('_motor'!$B$660=0,"",'02 · Variables'!$C$81)</f>
        <v/>
      </c>
      <c r="C80" s="22">
        <f>IF('_motor'!$B$660=0,"",SUMPRODUCT('_motor'!$B$586:$B$665*('_motor'!$C$586:$C$665&gt;'_motor'!$C$660))+(SUMPRODUCT('_motor'!$B$586:$B$665*('_motor'!$C$586:$C$665='_motor'!$C$660))+1)/2)</f>
        <v/>
      </c>
      <c r="D80" s="22">
        <f>IF('_motor'!$B$660=0,"",SUMPRODUCT('_motor'!$B$586:$B$665*('_motor'!$E$586:$E$665&gt;'_motor'!$E$660))+(SUMPRODUCT('_motor'!$B$586:$B$665*('_motor'!$E$586:$E$665='_motor'!$E$660))+1)/2)</f>
        <v/>
      </c>
      <c r="E80" s="22">
        <f>IF('_motor'!$B$660=0,"",SUMPRODUCT('_motor'!$B$586:$B$665*('_motor'!$G$586:$G$665&gt;'_motor'!$G$660))+(SUMPRODUCT('_motor'!$B$586:$B$665*('_motor'!$G$586:$G$665='_motor'!$G$660))+1)/2)</f>
        <v/>
      </c>
      <c r="F80" s="22">
        <f>IF('_motor'!$B$660=0,"",SUMPRODUCT('_motor'!$B$586:$B$665*('_motor'!$I$586:$I$665&gt;'_motor'!$I$660))+(SUMPRODUCT('_motor'!$B$586:$B$665*('_motor'!$I$586:$I$665='_motor'!$I$660))+1)/2)</f>
        <v/>
      </c>
      <c r="G80" s="22">
        <f>IF('_motor'!$B$660=0,"",C80-D80)</f>
        <v/>
      </c>
      <c r="H80" s="22">
        <f>IF('_motor'!$B$660=0,"",C80-E80)</f>
        <v/>
      </c>
      <c r="I80" s="19">
        <f>IF('_motor'!$B$660=0,"",IF(AND(ABS('_motor'!$C$660-'_motor'!$B$668)&lt;='_motor'!$B$676+0.000000001,ABS('_motor'!$D$660-'_motor'!$B$668)&lt;='_motor'!$B$676+0.000000001),"5 · Pelotón (no concluyente)",IF(AND('_motor'!$C$660&gt;='_motor'!$B$668,'_motor'!$D$660&lt;'_motor'!$B$668),"1 · Entrada / determinante",IF(AND('_motor'!$C$660&gt;='_motor'!$B$668,'_motor'!$D$660&gt;='_motor'!$B$668),"2 · Intermedia / de enlace",IF(AND('_motor'!$C$660&lt;'_motor'!$B$668,'_motor'!$D$660&gt;='_motor'!$B$668),"3 · Resultado","4 · Excluida / autónoma")))))</f>
        <v/>
      </c>
      <c r="J80" s="19">
        <f>IF('_motor'!$B$660=0,"",IF(AND(ABS('_motor'!$I$660-'_motor'!$B$671)&lt;='_motor'!$B$679+0.000000001,ABS('_motor'!$J$660-'_motor'!$B$671)&lt;='_motor'!$B$679+0.000000001),"5 · Pelotón (no concluyente)",IF(AND('_motor'!$I$660&gt;='_motor'!$B$671,'_motor'!$J$660&lt;'_motor'!$B$671),"1 · Entrada / determinante",IF(AND('_motor'!$I$660&gt;='_motor'!$B$671,'_motor'!$J$660&gt;='_motor'!$B$671),"2 · Intermedia / de enlace",IF(AND('_motor'!$I$660&lt;'_motor'!$B$671,'_motor'!$J$660&gt;='_motor'!$B$671),"3 · Resultado","4 · Excluida / autónoma")))))</f>
        <v/>
      </c>
      <c r="K80" s="22">
        <f>IF('_motor'!$B$660=0,"",IF(LEFT(I80,1)=LEFT(J80,1),"No","SÍ"))</f>
        <v/>
      </c>
      <c r="L80" s="19">
        <f>IF('_motor'!$B$660=0,"",IF(AND(G80&gt;2,H80&gt;2),"Variable oculta y además latente: su peso real está muy infravalorado en la lectura directa. Prioridad máxima de seguimiento.",IF(G80&gt;2,"Variable oculta: gobierna el sistema a través de cadenas indirectas.",IF(H80&gt;2,"Variable latente: hoy es secundaria, pero ganará peso si las relaciones potenciales se materializan.",IF(AND(G80&lt;-2,H80&lt;-2),"Su importancia aparente en la lectura directa no se sostiene ni por vía indirecta ni potencial.","Comportamiento estable en las distintas clasificaciones.")))))</f>
        <v/>
      </c>
    </row>
    <row r="81" spans="1:12" x14ac:dyDescent="0.2">
      <c r="A81" s="21">
        <f>IF('_motor'!$B$661=0,"",'02 · Variables'!$B$82)</f>
        <v/>
      </c>
      <c r="B81" s="19">
        <f>IF('_motor'!$B$661=0,"",'02 · Variables'!$C$82)</f>
        <v/>
      </c>
      <c r="C81" s="22">
        <f>IF('_motor'!$B$661=0,"",SUMPRODUCT('_motor'!$B$586:$B$665*('_motor'!$C$586:$C$665&gt;'_motor'!$C$661))+(SUMPRODUCT('_motor'!$B$586:$B$665*('_motor'!$C$586:$C$665='_motor'!$C$661))+1)/2)</f>
        <v/>
      </c>
      <c r="D81" s="22">
        <f>IF('_motor'!$B$661=0,"",SUMPRODUCT('_motor'!$B$586:$B$665*('_motor'!$E$586:$E$665&gt;'_motor'!$E$661))+(SUMPRODUCT('_motor'!$B$586:$B$665*('_motor'!$E$586:$E$665='_motor'!$E$661))+1)/2)</f>
        <v/>
      </c>
      <c r="E81" s="22">
        <f>IF('_motor'!$B$661=0,"",SUMPRODUCT('_motor'!$B$586:$B$665*('_motor'!$G$586:$G$665&gt;'_motor'!$G$661))+(SUMPRODUCT('_motor'!$B$586:$B$665*('_motor'!$G$586:$G$665='_motor'!$G$661))+1)/2)</f>
        <v/>
      </c>
      <c r="F81" s="22">
        <f>IF('_motor'!$B$661=0,"",SUMPRODUCT('_motor'!$B$586:$B$665*('_motor'!$I$586:$I$665&gt;'_motor'!$I$661))+(SUMPRODUCT('_motor'!$B$586:$B$665*('_motor'!$I$586:$I$665='_motor'!$I$661))+1)/2)</f>
        <v/>
      </c>
      <c r="G81" s="22">
        <f>IF('_motor'!$B$661=0,"",C81-D81)</f>
        <v/>
      </c>
      <c r="H81" s="22">
        <f>IF('_motor'!$B$661=0,"",C81-E81)</f>
        <v/>
      </c>
      <c r="I81" s="19">
        <f>IF('_motor'!$B$661=0,"",IF(AND(ABS('_motor'!$C$661-'_motor'!$B$668)&lt;='_motor'!$B$676+0.000000001,ABS('_motor'!$D$661-'_motor'!$B$668)&lt;='_motor'!$B$676+0.000000001),"5 · Pelotón (no concluyente)",IF(AND('_motor'!$C$661&gt;='_motor'!$B$668,'_motor'!$D$661&lt;'_motor'!$B$668),"1 · Entrada / determinante",IF(AND('_motor'!$C$661&gt;='_motor'!$B$668,'_motor'!$D$661&gt;='_motor'!$B$668),"2 · Intermedia / de enlace",IF(AND('_motor'!$C$661&lt;'_motor'!$B$668,'_motor'!$D$661&gt;='_motor'!$B$668),"3 · Resultado","4 · Excluida / autónoma")))))</f>
        <v/>
      </c>
      <c r="J81" s="19">
        <f>IF('_motor'!$B$661=0,"",IF(AND(ABS('_motor'!$I$661-'_motor'!$B$671)&lt;='_motor'!$B$679+0.000000001,ABS('_motor'!$J$661-'_motor'!$B$671)&lt;='_motor'!$B$679+0.000000001),"5 · Pelotón (no concluyente)",IF(AND('_motor'!$I$661&gt;='_motor'!$B$671,'_motor'!$J$661&lt;'_motor'!$B$671),"1 · Entrada / determinante",IF(AND('_motor'!$I$661&gt;='_motor'!$B$671,'_motor'!$J$661&gt;='_motor'!$B$671),"2 · Intermedia / de enlace",IF(AND('_motor'!$I$661&lt;'_motor'!$B$671,'_motor'!$J$661&gt;='_motor'!$B$671),"3 · Resultado","4 · Excluida / autónoma")))))</f>
        <v/>
      </c>
      <c r="K81" s="22">
        <f>IF('_motor'!$B$661=0,"",IF(LEFT(I81,1)=LEFT(J81,1),"No","SÍ"))</f>
        <v/>
      </c>
      <c r="L81" s="19">
        <f>IF('_motor'!$B$661=0,"",IF(AND(G81&gt;2,H81&gt;2),"Variable oculta y además latente: su peso real está muy infravalorado en la lectura directa. Prioridad máxima de seguimiento.",IF(G81&gt;2,"Variable oculta: gobierna el sistema a través de cadenas indirectas.",IF(H81&gt;2,"Variable latente: hoy es secundaria, pero ganará peso si las relaciones potenciales se materializan.",IF(AND(G81&lt;-2,H81&lt;-2),"Su importancia aparente en la lectura directa no se sostiene ni por vía indirecta ni potencial.","Comportamiento estable en las distintas clasificaciones.")))))</f>
        <v/>
      </c>
    </row>
    <row r="82" spans="1:12" x14ac:dyDescent="0.2">
      <c r="A82" s="21">
        <f>IF('_motor'!$B$662=0,"",'02 · Variables'!$B$83)</f>
        <v/>
      </c>
      <c r="B82" s="19">
        <f>IF('_motor'!$B$662=0,"",'02 · Variables'!$C$83)</f>
        <v/>
      </c>
      <c r="C82" s="22">
        <f>IF('_motor'!$B$662=0,"",SUMPRODUCT('_motor'!$B$586:$B$665*('_motor'!$C$586:$C$665&gt;'_motor'!$C$662))+(SUMPRODUCT('_motor'!$B$586:$B$665*('_motor'!$C$586:$C$665='_motor'!$C$662))+1)/2)</f>
        <v/>
      </c>
      <c r="D82" s="22">
        <f>IF('_motor'!$B$662=0,"",SUMPRODUCT('_motor'!$B$586:$B$665*('_motor'!$E$586:$E$665&gt;'_motor'!$E$662))+(SUMPRODUCT('_motor'!$B$586:$B$665*('_motor'!$E$586:$E$665='_motor'!$E$662))+1)/2)</f>
        <v/>
      </c>
      <c r="E82" s="22">
        <f>IF('_motor'!$B$662=0,"",SUMPRODUCT('_motor'!$B$586:$B$665*('_motor'!$G$586:$G$665&gt;'_motor'!$G$662))+(SUMPRODUCT('_motor'!$B$586:$B$665*('_motor'!$G$586:$G$665='_motor'!$G$662))+1)/2)</f>
        <v/>
      </c>
      <c r="F82" s="22">
        <f>IF('_motor'!$B$662=0,"",SUMPRODUCT('_motor'!$B$586:$B$665*('_motor'!$I$586:$I$665&gt;'_motor'!$I$662))+(SUMPRODUCT('_motor'!$B$586:$B$665*('_motor'!$I$586:$I$665='_motor'!$I$662))+1)/2)</f>
        <v/>
      </c>
      <c r="G82" s="22">
        <f>IF('_motor'!$B$662=0,"",C82-D82)</f>
        <v/>
      </c>
      <c r="H82" s="22">
        <f>IF('_motor'!$B$662=0,"",C82-E82)</f>
        <v/>
      </c>
      <c r="I82" s="19">
        <f>IF('_motor'!$B$662=0,"",IF(AND(ABS('_motor'!$C$662-'_motor'!$B$668)&lt;='_motor'!$B$676+0.000000001,ABS('_motor'!$D$662-'_motor'!$B$668)&lt;='_motor'!$B$676+0.000000001),"5 · Pelotón (no concluyente)",IF(AND('_motor'!$C$662&gt;='_motor'!$B$668,'_motor'!$D$662&lt;'_motor'!$B$668),"1 · Entrada / determinante",IF(AND('_motor'!$C$662&gt;='_motor'!$B$668,'_motor'!$D$662&gt;='_motor'!$B$668),"2 · Intermedia / de enlace",IF(AND('_motor'!$C$662&lt;'_motor'!$B$668,'_motor'!$D$662&gt;='_motor'!$B$668),"3 · Resultado","4 · Excluida / autónoma")))))</f>
        <v/>
      </c>
      <c r="J82" s="19">
        <f>IF('_motor'!$B$662=0,"",IF(AND(ABS('_motor'!$I$662-'_motor'!$B$671)&lt;='_motor'!$B$679+0.000000001,ABS('_motor'!$J$662-'_motor'!$B$671)&lt;='_motor'!$B$679+0.000000001),"5 · Pelotón (no concluyente)",IF(AND('_motor'!$I$662&gt;='_motor'!$B$671,'_motor'!$J$662&lt;'_motor'!$B$671),"1 · Entrada / determinante",IF(AND('_motor'!$I$662&gt;='_motor'!$B$671,'_motor'!$J$662&gt;='_motor'!$B$671),"2 · Intermedia / de enlace",IF(AND('_motor'!$I$662&lt;'_motor'!$B$671,'_motor'!$J$662&gt;='_motor'!$B$671),"3 · Resultado","4 · Excluida / autónoma")))))</f>
        <v/>
      </c>
      <c r="K82" s="22">
        <f>IF('_motor'!$B$662=0,"",IF(LEFT(I82,1)=LEFT(J82,1),"No","SÍ"))</f>
        <v/>
      </c>
      <c r="L82" s="19">
        <f>IF('_motor'!$B$662=0,"",IF(AND(G82&gt;2,H82&gt;2),"Variable oculta y además latente: su peso real está muy infravalorado en la lectura directa. Prioridad máxima de seguimiento.",IF(G82&gt;2,"Variable oculta: gobierna el sistema a través de cadenas indirectas.",IF(H82&gt;2,"Variable latente: hoy es secundaria, pero ganará peso si las relaciones potenciales se materializan.",IF(AND(G82&lt;-2,H82&lt;-2),"Su importancia aparente en la lectura directa no se sostiene ni por vía indirecta ni potencial.","Comportamiento estable en las distintas clasificaciones.")))))</f>
        <v/>
      </c>
    </row>
    <row r="83" spans="1:12" x14ac:dyDescent="0.2">
      <c r="A83" s="21">
        <f>IF('_motor'!$B$663=0,"",'02 · Variables'!$B$84)</f>
        <v/>
      </c>
      <c r="B83" s="19">
        <f>IF('_motor'!$B$663=0,"",'02 · Variables'!$C$84)</f>
        <v/>
      </c>
      <c r="C83" s="22">
        <f>IF('_motor'!$B$663=0,"",SUMPRODUCT('_motor'!$B$586:$B$665*('_motor'!$C$586:$C$665&gt;'_motor'!$C$663))+(SUMPRODUCT('_motor'!$B$586:$B$665*('_motor'!$C$586:$C$665='_motor'!$C$663))+1)/2)</f>
        <v/>
      </c>
      <c r="D83" s="22">
        <f>IF('_motor'!$B$663=0,"",SUMPRODUCT('_motor'!$B$586:$B$665*('_motor'!$E$586:$E$665&gt;'_motor'!$E$663))+(SUMPRODUCT('_motor'!$B$586:$B$665*('_motor'!$E$586:$E$665='_motor'!$E$663))+1)/2)</f>
        <v/>
      </c>
      <c r="E83" s="22">
        <f>IF('_motor'!$B$663=0,"",SUMPRODUCT('_motor'!$B$586:$B$665*('_motor'!$G$586:$G$665&gt;'_motor'!$G$663))+(SUMPRODUCT('_motor'!$B$586:$B$665*('_motor'!$G$586:$G$665='_motor'!$G$663))+1)/2)</f>
        <v/>
      </c>
      <c r="F83" s="22">
        <f>IF('_motor'!$B$663=0,"",SUMPRODUCT('_motor'!$B$586:$B$665*('_motor'!$I$586:$I$665&gt;'_motor'!$I$663))+(SUMPRODUCT('_motor'!$B$586:$B$665*('_motor'!$I$586:$I$665='_motor'!$I$663))+1)/2)</f>
        <v/>
      </c>
      <c r="G83" s="22">
        <f>IF('_motor'!$B$663=0,"",C83-D83)</f>
        <v/>
      </c>
      <c r="H83" s="22">
        <f>IF('_motor'!$B$663=0,"",C83-E83)</f>
        <v/>
      </c>
      <c r="I83" s="19">
        <f>IF('_motor'!$B$663=0,"",IF(AND(ABS('_motor'!$C$663-'_motor'!$B$668)&lt;='_motor'!$B$676+0.000000001,ABS('_motor'!$D$663-'_motor'!$B$668)&lt;='_motor'!$B$676+0.000000001),"5 · Pelotón (no concluyente)",IF(AND('_motor'!$C$663&gt;='_motor'!$B$668,'_motor'!$D$663&lt;'_motor'!$B$668),"1 · Entrada / determinante",IF(AND('_motor'!$C$663&gt;='_motor'!$B$668,'_motor'!$D$663&gt;='_motor'!$B$668),"2 · Intermedia / de enlace",IF(AND('_motor'!$C$663&lt;'_motor'!$B$668,'_motor'!$D$663&gt;='_motor'!$B$668),"3 · Resultado","4 · Excluida / autónoma")))))</f>
        <v/>
      </c>
      <c r="J83" s="19">
        <f>IF('_motor'!$B$663=0,"",IF(AND(ABS('_motor'!$I$663-'_motor'!$B$671)&lt;='_motor'!$B$679+0.000000001,ABS('_motor'!$J$663-'_motor'!$B$671)&lt;='_motor'!$B$679+0.000000001),"5 · Pelotón (no concluyente)",IF(AND('_motor'!$I$663&gt;='_motor'!$B$671,'_motor'!$J$663&lt;'_motor'!$B$671),"1 · Entrada / determinante",IF(AND('_motor'!$I$663&gt;='_motor'!$B$671,'_motor'!$J$663&gt;='_motor'!$B$671),"2 · Intermedia / de enlace",IF(AND('_motor'!$I$663&lt;'_motor'!$B$671,'_motor'!$J$663&gt;='_motor'!$B$671),"3 · Resultado","4 · Excluida / autónoma")))))</f>
        <v/>
      </c>
      <c r="K83" s="22">
        <f>IF('_motor'!$B$663=0,"",IF(LEFT(I83,1)=LEFT(J83,1),"No","SÍ"))</f>
        <v/>
      </c>
      <c r="L83" s="19">
        <f>IF('_motor'!$B$663=0,"",IF(AND(G83&gt;2,H83&gt;2),"Variable oculta y además latente: su peso real está muy infravalorado en la lectura directa. Prioridad máxima de seguimiento.",IF(G83&gt;2,"Variable oculta: gobierna el sistema a través de cadenas indirectas.",IF(H83&gt;2,"Variable latente: hoy es secundaria, pero ganará peso si las relaciones potenciales se materializan.",IF(AND(G83&lt;-2,H83&lt;-2),"Su importancia aparente en la lectura directa no se sostiene ni por vía indirecta ni potencial.","Comportamiento estable en las distintas clasificaciones.")))))</f>
        <v/>
      </c>
    </row>
    <row r="84" spans="1:12" x14ac:dyDescent="0.2">
      <c r="A84" s="21">
        <f>IF('_motor'!$B$664=0,"",'02 · Variables'!$B$85)</f>
        <v/>
      </c>
      <c r="B84" s="19">
        <f>IF('_motor'!$B$664=0,"",'02 · Variables'!$C$85)</f>
        <v/>
      </c>
      <c r="C84" s="22">
        <f>IF('_motor'!$B$664=0,"",SUMPRODUCT('_motor'!$B$586:$B$665*('_motor'!$C$586:$C$665&gt;'_motor'!$C$664))+(SUMPRODUCT('_motor'!$B$586:$B$665*('_motor'!$C$586:$C$665='_motor'!$C$664))+1)/2)</f>
        <v/>
      </c>
      <c r="D84" s="22">
        <f>IF('_motor'!$B$664=0,"",SUMPRODUCT('_motor'!$B$586:$B$665*('_motor'!$E$586:$E$665&gt;'_motor'!$E$664))+(SUMPRODUCT('_motor'!$B$586:$B$665*('_motor'!$E$586:$E$665='_motor'!$E$664))+1)/2)</f>
        <v/>
      </c>
      <c r="E84" s="22">
        <f>IF('_motor'!$B$664=0,"",SUMPRODUCT('_motor'!$B$586:$B$665*('_motor'!$G$586:$G$665&gt;'_motor'!$G$664))+(SUMPRODUCT('_motor'!$B$586:$B$665*('_motor'!$G$586:$G$665='_motor'!$G$664))+1)/2)</f>
        <v/>
      </c>
      <c r="F84" s="22">
        <f>IF('_motor'!$B$664=0,"",SUMPRODUCT('_motor'!$B$586:$B$665*('_motor'!$I$586:$I$665&gt;'_motor'!$I$664))+(SUMPRODUCT('_motor'!$B$586:$B$665*('_motor'!$I$586:$I$665='_motor'!$I$664))+1)/2)</f>
        <v/>
      </c>
      <c r="G84" s="22">
        <f>IF('_motor'!$B$664=0,"",C84-D84)</f>
        <v/>
      </c>
      <c r="H84" s="22">
        <f>IF('_motor'!$B$664=0,"",C84-E84)</f>
        <v/>
      </c>
      <c r="I84" s="19">
        <f>IF('_motor'!$B$664=0,"",IF(AND(ABS('_motor'!$C$664-'_motor'!$B$668)&lt;='_motor'!$B$676+0.000000001,ABS('_motor'!$D$664-'_motor'!$B$668)&lt;='_motor'!$B$676+0.000000001),"5 · Pelotón (no concluyente)",IF(AND('_motor'!$C$664&gt;='_motor'!$B$668,'_motor'!$D$664&lt;'_motor'!$B$668),"1 · Entrada / determinante",IF(AND('_motor'!$C$664&gt;='_motor'!$B$668,'_motor'!$D$664&gt;='_motor'!$B$668),"2 · Intermedia / de enlace",IF(AND('_motor'!$C$664&lt;'_motor'!$B$668,'_motor'!$D$664&gt;='_motor'!$B$668),"3 · Resultado","4 · Excluida / autónoma")))))</f>
        <v/>
      </c>
      <c r="J84" s="19">
        <f>IF('_motor'!$B$664=0,"",IF(AND(ABS('_motor'!$I$664-'_motor'!$B$671)&lt;='_motor'!$B$679+0.000000001,ABS('_motor'!$J$664-'_motor'!$B$671)&lt;='_motor'!$B$679+0.000000001),"5 · Pelotón (no concluyente)",IF(AND('_motor'!$I$664&gt;='_motor'!$B$671,'_motor'!$J$664&lt;'_motor'!$B$671),"1 · Entrada / determinante",IF(AND('_motor'!$I$664&gt;='_motor'!$B$671,'_motor'!$J$664&gt;='_motor'!$B$671),"2 · Intermedia / de enlace",IF(AND('_motor'!$I$664&lt;'_motor'!$B$671,'_motor'!$J$664&gt;='_motor'!$B$671),"3 · Resultado","4 · Excluida / autónoma")))))</f>
        <v/>
      </c>
      <c r="K84" s="22">
        <f>IF('_motor'!$B$664=0,"",IF(LEFT(I84,1)=LEFT(J84,1),"No","SÍ"))</f>
        <v/>
      </c>
      <c r="L84" s="19">
        <f>IF('_motor'!$B$664=0,"",IF(AND(G84&gt;2,H84&gt;2),"Variable oculta y además latente: su peso real está muy infravalorado en la lectura directa. Prioridad máxima de seguimiento.",IF(G84&gt;2,"Variable oculta: gobierna el sistema a través de cadenas indirectas.",IF(H84&gt;2,"Variable latente: hoy es secundaria, pero ganará peso si las relaciones potenciales se materializan.",IF(AND(G84&lt;-2,H84&lt;-2),"Su importancia aparente en la lectura directa no se sostiene ni por vía indirecta ni potencial.","Comportamiento estable en las distintas clasificaciones.")))))</f>
        <v/>
      </c>
    </row>
    <row r="85" spans="1:12" x14ac:dyDescent="0.2">
      <c r="A85" s="21">
        <f>IF('_motor'!$B$665=0,"",'02 · Variables'!$B$86)</f>
        <v/>
      </c>
      <c r="B85" s="19">
        <f>IF('_motor'!$B$665=0,"",'02 · Variables'!$C$86)</f>
        <v/>
      </c>
      <c r="C85" s="22">
        <f>IF('_motor'!$B$665=0,"",SUMPRODUCT('_motor'!$B$586:$B$665*('_motor'!$C$586:$C$665&gt;'_motor'!$C$665))+(SUMPRODUCT('_motor'!$B$586:$B$665*('_motor'!$C$586:$C$665='_motor'!$C$665))+1)/2)</f>
        <v/>
      </c>
      <c r="D85" s="22">
        <f>IF('_motor'!$B$665=0,"",SUMPRODUCT('_motor'!$B$586:$B$665*('_motor'!$E$586:$E$665&gt;'_motor'!$E$665))+(SUMPRODUCT('_motor'!$B$586:$B$665*('_motor'!$E$586:$E$665='_motor'!$E$665))+1)/2)</f>
        <v/>
      </c>
      <c r="E85" s="22">
        <f>IF('_motor'!$B$665=0,"",SUMPRODUCT('_motor'!$B$586:$B$665*('_motor'!$G$586:$G$665&gt;'_motor'!$G$665))+(SUMPRODUCT('_motor'!$B$586:$B$665*('_motor'!$G$586:$G$665='_motor'!$G$665))+1)/2)</f>
        <v/>
      </c>
      <c r="F85" s="22">
        <f>IF('_motor'!$B$665=0,"",SUMPRODUCT('_motor'!$B$586:$B$665*('_motor'!$I$586:$I$665&gt;'_motor'!$I$665))+(SUMPRODUCT('_motor'!$B$586:$B$665*('_motor'!$I$586:$I$665='_motor'!$I$665))+1)/2)</f>
        <v/>
      </c>
      <c r="G85" s="22">
        <f>IF('_motor'!$B$665=0,"",C85-D85)</f>
        <v/>
      </c>
      <c r="H85" s="22">
        <f>IF('_motor'!$B$665=0,"",C85-E85)</f>
        <v/>
      </c>
      <c r="I85" s="19">
        <f>IF('_motor'!$B$665=0,"",IF(AND(ABS('_motor'!$C$665-'_motor'!$B$668)&lt;='_motor'!$B$676+0.000000001,ABS('_motor'!$D$665-'_motor'!$B$668)&lt;='_motor'!$B$676+0.000000001),"5 · Pelotón (no concluyente)",IF(AND('_motor'!$C$665&gt;='_motor'!$B$668,'_motor'!$D$665&lt;'_motor'!$B$668),"1 · Entrada / determinante",IF(AND('_motor'!$C$665&gt;='_motor'!$B$668,'_motor'!$D$665&gt;='_motor'!$B$668),"2 · Intermedia / de enlace",IF(AND('_motor'!$C$665&lt;'_motor'!$B$668,'_motor'!$D$665&gt;='_motor'!$B$668),"3 · Resultado","4 · Excluida / autónoma")))))</f>
        <v/>
      </c>
      <c r="J85" s="19">
        <f>IF('_motor'!$B$665=0,"",IF(AND(ABS('_motor'!$I$665-'_motor'!$B$671)&lt;='_motor'!$B$679+0.000000001,ABS('_motor'!$J$665-'_motor'!$B$671)&lt;='_motor'!$B$679+0.000000001),"5 · Pelotón (no concluyente)",IF(AND('_motor'!$I$665&gt;='_motor'!$B$671,'_motor'!$J$665&lt;'_motor'!$B$671),"1 · Entrada / determinante",IF(AND('_motor'!$I$665&gt;='_motor'!$B$671,'_motor'!$J$665&gt;='_motor'!$B$671),"2 · Intermedia / de enlace",IF(AND('_motor'!$I$665&lt;'_motor'!$B$671,'_motor'!$J$665&gt;='_motor'!$B$671),"3 · Resultado","4 · Excluida / autónoma")))))</f>
        <v/>
      </c>
      <c r="K85" s="22">
        <f>IF('_motor'!$B$665=0,"",IF(LEFT(I85,1)=LEFT(J85,1),"No","SÍ"))</f>
        <v/>
      </c>
      <c r="L85" s="19">
        <f>IF('_motor'!$B$665=0,"",IF(AND(G85&gt;2,H85&gt;2),"Variable oculta y además latente: su peso real está muy infravalorado en la lectura directa. Prioridad máxima de seguimiento.",IF(G85&gt;2,"Variable oculta: gobierna el sistema a través de cadenas indirectas.",IF(H85&gt;2,"Variable latente: hoy es secundaria, pero ganará peso si las relaciones potenciales se materializan.",IF(AND(G85&lt;-2,H85&lt;-2),"Su importancia aparente en la lectura directa no se sostiene ni por vía indirecta ni potencial.","Comportamiento estable en las distintas clasificaciones.")))))</f>
        <v/>
      </c>
    </row>
    <row r="88" spans="1:12" ht="19.5" customHeight="1" x14ac:dyDescent="0.2">
      <c r="B88" s="15" t="s">
        <v>410</v>
      </c>
    </row>
    <row r="89" spans="1:12" ht="30" x14ac:dyDescent="0.2">
      <c r="B89" s="16" t="s">
        <v>411</v>
      </c>
      <c r="C89" s="22">
        <f>'_motor'!$B$681</f>
      </c>
    </row>
    <row r="90" spans="1:12" ht="30" x14ac:dyDescent="0.2">
      <c r="B90" s="16" t="s">
        <v>412</v>
      </c>
      <c r="C90" s="22">
        <f>'_motor'!$B$682</f>
      </c>
    </row>
    <row r="91" spans="1:12" ht="30" x14ac:dyDescent="0.2">
      <c r="B91" s="16" t="s">
        <v>413</v>
      </c>
      <c r="C91" s="22">
        <f>'_motor'!$B$683</f>
      </c>
    </row>
    <row r="92" spans="1:12" x14ac:dyDescent="0.2">
      <c r="B92" s="16" t="s">
        <v>414</v>
      </c>
      <c r="C92" s="2">
        <f>IF('_motor'!$B$3=0,"Sin datos",IF('_motor'!$B$683=0,"CONVERGENCIA PLENA: la jerarquía ya no cambia al elevar la matriz. La clasificación indirecta es definitiva.",IF('_motor'!$B$683&lt;='_motor'!$B$682,"CONVERGENCIA SUFICIENTE: los cambios decrecen al aumentar la potencia. MID³ es una base sólida.","SIN CONVERGENCIA: la jerarquía sigue moviéndose. Revise la matriz o eleve a potencias superiores antes de concluir.")))</f>
      </c>
      <c r="D92" s="2"/>
      <c r="E92" s="2"/>
      <c r="F92" s="2"/>
      <c r="G92" s="2"/>
      <c r="H92" s="2"/>
      <c r="I92" s="2"/>
      <c r="J92" s="2"/>
      <c r="K92" s="2"/>
      <c r="L92" s="2"/>
    </row>
    <row r="94" spans="1:12" ht="49.5" customHeight="1" x14ac:dyDescent="0.2">
      <c r="B94" s="7" t="s">
        <v>415</v>
      </c>
    </row>
  </sheetData>
  <sheetProtection password="CD7E" sheet="1" formatCells="0" formatColumns="0" formatRows="0" insertRows="0"/>
  <mergeCells count="1">
    <mergeCell ref="C92:L92"/>
  </mergeCells>
  <conditionalFormatting sqref="G6:H85">
    <cfRule type="cellIs" dxfId="18" priority="2" operator="greaterThan">
      <formula>2</formula>
    </cfRule>
  </conditionalFormatting>
  <conditionalFormatting sqref="K6:K85">
    <cfRule type="cellIs" dxfId="17" priority="3" operator="equal">
      <formula>"SÍ"</formula>
    </cfRule>
  </conditionalFormatting>
  <pageMargins left="0.5" right="0.5" top="0.6" bottom="0.6" header="0.3" footer="0.3"/>
  <pageSetup paperSize="9" scale="100" fitToWidth="1" fitToHeight="0" orientation="landscape" horizontalDpi="300" verticalDpi="300"/>
  <headerFooter>
    <oddHeader>&amp;R&amp;"Aptos,Regular"&amp;8&amp;K94A0AE12 Comparativa</oddHeader>
    <oddFooter>&amp;L&amp;"Aptos,Regular"&amp;8&amp;K94A0AEIntelKIT · MICMAC Professional v1.0&amp;R&amp;"Aptos,Regular"&amp;8&amp;K94A0AEPágina &amp;P de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4A0AE"/>
  </sheetPr>
  <dimension ref="A1:CB695"/>
  <sheetViews>
    <sheetView showGridLines="0" zoomScaleNormal="100" workbookViewId="0"/>
  </sheetViews>
  <sheetFormatPr baseColWidth="10" defaultColWidth="8.6640625" defaultRowHeight="15" x14ac:dyDescent="0.2"/>
  <sheetData>
    <row r="1" spans="1:80" ht="19" x14ac:dyDescent="0.25">
      <c r="A1" s="49" t="s">
        <v>580</v>
      </c>
    </row>
    <row r="2" spans="1:80" x14ac:dyDescent="0.2">
      <c r="A2" s="50" t="s">
        <v>581</v>
      </c>
    </row>
    <row r="3" spans="1:80" x14ac:dyDescent="0.2">
      <c r="A3" t="s">
        <v>582</v>
      </c>
      <c r="B3">
        <f>COUNTA('02 · Variables'!$C$7:$C$86)</f>
      </c>
    </row>
    <row r="4" spans="1:80" x14ac:dyDescent="0.2">
      <c r="A4" t="s">
        <v>583</v>
      </c>
      <c r="B4">
        <f>B3*(B3-1)</f>
      </c>
    </row>
    <row r="5" spans="1:80" x14ac:dyDescent="0.2">
      <c r="A5" t="s">
        <v>584</v>
      </c>
      <c r="B5">
        <f>COUNTIF('04 · Matriz'!$C$6:$CD$85,"&gt;0")</f>
      </c>
    </row>
    <row r="6" spans="1:80" x14ac:dyDescent="0.2">
      <c r="A6" t="s">
        <v>585</v>
      </c>
      <c r="B6">
        <f>COUNTIF('04 · Matriz'!$C$6:$CD$85,4)</f>
      </c>
    </row>
    <row r="7" spans="1:80" x14ac:dyDescent="0.2">
      <c r="A7" t="s">
        <v>586</v>
      </c>
      <c r="B7">
        <f>IF(B4=0,0,B5/B4)</f>
      </c>
    </row>
    <row r="8" spans="1:80" x14ac:dyDescent="0.2">
      <c r="A8" t="s">
        <v>587</v>
      </c>
      <c r="B8" s="51">
        <f>'Método'!$C$23</f>
      </c>
    </row>
    <row r="10" spans="1:80" x14ac:dyDescent="0.2">
      <c r="A10" s="40" t="s">
        <v>588</v>
      </c>
    </row>
    <row r="11" spans="1:80" x14ac:dyDescent="0.2">
      <c r="A11">
        <f t="array" ref="A11:CB90">IF('04 · Matriz'!$C$6:$CD$85=4,0,IF(ISNUMBER('04 · Matriz'!$C$6:$CD$85),'04 · Matriz'!$C$6:$CD$85,0))</f>
      </c>
      <c r="B11">
        <v>0</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row>
    <row r="12" spans="1:80" x14ac:dyDescent="0.2">
      <c r="A12">
        <v>0</v>
      </c>
      <c r="B12">
        <v>0</v>
      </c>
      <c r="C12">
        <v>0</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row>
    <row r="13" spans="1:80" x14ac:dyDescent="0.2">
      <c r="A13">
        <v>0</v>
      </c>
      <c r="B13">
        <v>0</v>
      </c>
      <c r="C13">
        <v>0</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row>
    <row r="14" spans="1:80" x14ac:dyDescent="0.2">
      <c r="A14">
        <v>0</v>
      </c>
      <c r="B14">
        <v>0</v>
      </c>
      <c r="C14">
        <v>0</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row>
    <row r="15" spans="1:80" x14ac:dyDescent="0.2">
      <c r="A15">
        <v>0</v>
      </c>
      <c r="B15">
        <v>0</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row>
    <row r="16" spans="1:80" x14ac:dyDescent="0.2">
      <c r="A16">
        <v>0</v>
      </c>
      <c r="B16">
        <v>0</v>
      </c>
      <c r="C16">
        <v>0</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row>
    <row r="17" spans="1:80" x14ac:dyDescent="0.2">
      <c r="A17">
        <v>0</v>
      </c>
      <c r="B17">
        <v>0</v>
      </c>
      <c r="C17">
        <v>0</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row>
    <row r="18" spans="1:80" x14ac:dyDescent="0.2">
      <c r="A18">
        <v>0</v>
      </c>
      <c r="B18">
        <v>0</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row>
    <row r="19" spans="1:80" x14ac:dyDescent="0.2">
      <c r="A19">
        <v>0</v>
      </c>
      <c r="B19">
        <v>0</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row>
    <row r="20" spans="1:80" x14ac:dyDescent="0.2">
      <c r="A20">
        <v>0</v>
      </c>
      <c r="B20">
        <v>0</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row>
    <row r="21" spans="1:80" x14ac:dyDescent="0.2">
      <c r="A21">
        <v>0</v>
      </c>
      <c r="B21">
        <v>0</v>
      </c>
      <c r="C21">
        <v>0</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row>
    <row r="22" spans="1:80" x14ac:dyDescent="0.2">
      <c r="A22">
        <v>0</v>
      </c>
      <c r="B22">
        <v>0</v>
      </c>
      <c r="C22">
        <v>0</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row>
    <row r="23" spans="1:80" x14ac:dyDescent="0.2">
      <c r="A23">
        <v>0</v>
      </c>
      <c r="B23">
        <v>0</v>
      </c>
      <c r="C23">
        <v>0</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row>
    <row r="24" spans="1:80" x14ac:dyDescent="0.2">
      <c r="A24">
        <v>0</v>
      </c>
      <c r="B24">
        <v>0</v>
      </c>
      <c r="C24">
        <v>0</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row>
    <row r="25" spans="1:80" x14ac:dyDescent="0.2">
      <c r="A25">
        <v>0</v>
      </c>
      <c r="B25">
        <v>0</v>
      </c>
      <c r="C25">
        <v>0</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row>
    <row r="26" spans="1:80" x14ac:dyDescent="0.2">
      <c r="A26">
        <v>0</v>
      </c>
      <c r="B26">
        <v>0</v>
      </c>
      <c r="C26">
        <v>0</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row>
    <row r="27" spans="1:80" x14ac:dyDescent="0.2">
      <c r="A27">
        <v>0</v>
      </c>
      <c r="B27">
        <v>0</v>
      </c>
      <c r="C27">
        <v>0</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row>
    <row r="28" spans="1:80" x14ac:dyDescent="0.2">
      <c r="A28">
        <v>0</v>
      </c>
      <c r="B28">
        <v>0</v>
      </c>
      <c r="C28">
        <v>0</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row>
    <row r="29" spans="1:80" x14ac:dyDescent="0.2">
      <c r="A29">
        <v>0</v>
      </c>
      <c r="B29">
        <v>0</v>
      </c>
      <c r="C29">
        <v>0</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row>
    <row r="30" spans="1:80" x14ac:dyDescent="0.2">
      <c r="A30">
        <v>0</v>
      </c>
      <c r="B30">
        <v>0</v>
      </c>
      <c r="C30">
        <v>0</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row>
    <row r="31" spans="1:80" x14ac:dyDescent="0.2">
      <c r="A31">
        <v>0</v>
      </c>
      <c r="B31">
        <v>0</v>
      </c>
      <c r="C31">
        <v>0</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row>
    <row r="32" spans="1:80" x14ac:dyDescent="0.2">
      <c r="A32">
        <v>0</v>
      </c>
      <c r="B32">
        <v>0</v>
      </c>
      <c r="C32">
        <v>0</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row>
    <row r="33" spans="1:80" x14ac:dyDescent="0.2">
      <c r="A33">
        <v>0</v>
      </c>
      <c r="B33">
        <v>0</v>
      </c>
      <c r="C33">
        <v>0</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row>
    <row r="34" spans="1:80" x14ac:dyDescent="0.2">
      <c r="A34">
        <v>0</v>
      </c>
      <c r="B34">
        <v>0</v>
      </c>
      <c r="C34">
        <v>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row>
    <row r="35" spans="1:80" x14ac:dyDescent="0.2">
      <c r="A35">
        <v>0</v>
      </c>
      <c r="B35">
        <v>0</v>
      </c>
      <c r="C35">
        <v>0</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row>
    <row r="36" spans="1:80" x14ac:dyDescent="0.2">
      <c r="A36">
        <v>0</v>
      </c>
      <c r="B36">
        <v>0</v>
      </c>
      <c r="C36">
        <v>0</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row>
    <row r="37" spans="1:80" x14ac:dyDescent="0.2">
      <c r="A37">
        <v>0</v>
      </c>
      <c r="B37">
        <v>0</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row>
    <row r="38" spans="1:80" x14ac:dyDescent="0.2">
      <c r="A38">
        <v>0</v>
      </c>
      <c r="B38">
        <v>0</v>
      </c>
      <c r="C38">
        <v>0</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row>
    <row r="39" spans="1:80" x14ac:dyDescent="0.2">
      <c r="A39">
        <v>0</v>
      </c>
      <c r="B39">
        <v>0</v>
      </c>
      <c r="C39">
        <v>0</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row>
    <row r="40" spans="1:80" x14ac:dyDescent="0.2">
      <c r="A40">
        <v>0</v>
      </c>
      <c r="B40">
        <v>0</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row>
    <row r="41" spans="1:80" x14ac:dyDescent="0.2">
      <c r="A41">
        <v>0</v>
      </c>
      <c r="B41">
        <v>0</v>
      </c>
      <c r="C41">
        <v>0</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row>
    <row r="42" spans="1:80" x14ac:dyDescent="0.2">
      <c r="A42">
        <v>0</v>
      </c>
      <c r="B42">
        <v>0</v>
      </c>
      <c r="C42">
        <v>0</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row>
    <row r="43" spans="1:80" x14ac:dyDescent="0.2">
      <c r="A43">
        <v>0</v>
      </c>
      <c r="B43">
        <v>0</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row>
    <row r="44" spans="1:80" x14ac:dyDescent="0.2">
      <c r="A44">
        <v>0</v>
      </c>
      <c r="B44">
        <v>0</v>
      </c>
      <c r="C44">
        <v>0</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row>
    <row r="45" spans="1:80" x14ac:dyDescent="0.2">
      <c r="A45">
        <v>0</v>
      </c>
      <c r="B45">
        <v>0</v>
      </c>
      <c r="C45">
        <v>0</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row>
    <row r="46" spans="1:80" x14ac:dyDescent="0.2">
      <c r="A46">
        <v>0</v>
      </c>
      <c r="B46">
        <v>0</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row>
    <row r="47" spans="1:80" x14ac:dyDescent="0.2">
      <c r="A47">
        <v>0</v>
      </c>
      <c r="B47">
        <v>0</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row>
    <row r="48" spans="1:80" x14ac:dyDescent="0.2">
      <c r="A48">
        <v>0</v>
      </c>
      <c r="B48">
        <v>0</v>
      </c>
      <c r="C48">
        <v>0</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row>
    <row r="49" spans="1:80" x14ac:dyDescent="0.2">
      <c r="A49">
        <v>0</v>
      </c>
      <c r="B49">
        <v>0</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row>
    <row r="50" spans="1:80" x14ac:dyDescent="0.2">
      <c r="A50">
        <v>0</v>
      </c>
      <c r="B50">
        <v>0</v>
      </c>
      <c r="C50">
        <v>0</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row>
    <row r="51" spans="1:80" x14ac:dyDescent="0.2">
      <c r="A51">
        <v>0</v>
      </c>
      <c r="B51">
        <v>0</v>
      </c>
      <c r="C51">
        <v>0</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row>
    <row r="52" spans="1:80" x14ac:dyDescent="0.2">
      <c r="A52">
        <v>0</v>
      </c>
      <c r="B52">
        <v>0</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row>
    <row r="53" spans="1:80" x14ac:dyDescent="0.2">
      <c r="A53">
        <v>0</v>
      </c>
      <c r="B53">
        <v>0</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row>
    <row r="54" spans="1:80" x14ac:dyDescent="0.2">
      <c r="A54">
        <v>0</v>
      </c>
      <c r="B54">
        <v>0</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row>
    <row r="55" spans="1:80" x14ac:dyDescent="0.2">
      <c r="A55">
        <v>0</v>
      </c>
      <c r="B55">
        <v>0</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row>
    <row r="56" spans="1:80" x14ac:dyDescent="0.2">
      <c r="A56">
        <v>0</v>
      </c>
      <c r="B56">
        <v>0</v>
      </c>
      <c r="C56">
        <v>0</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row>
    <row r="57" spans="1:80" x14ac:dyDescent="0.2">
      <c r="A57">
        <v>0</v>
      </c>
      <c r="B57">
        <v>0</v>
      </c>
      <c r="C57">
        <v>0</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row>
    <row r="58" spans="1:80" x14ac:dyDescent="0.2">
      <c r="A58">
        <v>0</v>
      </c>
      <c r="B58">
        <v>0</v>
      </c>
      <c r="C58">
        <v>0</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row>
    <row r="59" spans="1:80" x14ac:dyDescent="0.2">
      <c r="A59">
        <v>0</v>
      </c>
      <c r="B59">
        <v>0</v>
      </c>
      <c r="C59">
        <v>0</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row>
    <row r="60" spans="1:80" x14ac:dyDescent="0.2">
      <c r="A60">
        <v>0</v>
      </c>
      <c r="B60">
        <v>0</v>
      </c>
      <c r="C60">
        <v>0</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row>
    <row r="61" spans="1:80" x14ac:dyDescent="0.2">
      <c r="A61">
        <v>0</v>
      </c>
      <c r="B61">
        <v>0</v>
      </c>
      <c r="C61">
        <v>0</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row>
    <row r="62" spans="1:80" x14ac:dyDescent="0.2">
      <c r="A62">
        <v>0</v>
      </c>
      <c r="B62">
        <v>0</v>
      </c>
      <c r="C62">
        <v>0</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row>
    <row r="63" spans="1:80" x14ac:dyDescent="0.2">
      <c r="A63">
        <v>0</v>
      </c>
      <c r="B63">
        <v>0</v>
      </c>
      <c r="C63">
        <v>0</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row>
    <row r="64" spans="1:80" x14ac:dyDescent="0.2">
      <c r="A64">
        <v>0</v>
      </c>
      <c r="B64">
        <v>0</v>
      </c>
      <c r="C64">
        <v>0</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row>
    <row r="65" spans="1:80" x14ac:dyDescent="0.2">
      <c r="A65">
        <v>0</v>
      </c>
      <c r="B65">
        <v>0</v>
      </c>
      <c r="C65">
        <v>0</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row>
    <row r="66" spans="1:80" x14ac:dyDescent="0.2">
      <c r="A66">
        <v>0</v>
      </c>
      <c r="B66">
        <v>0</v>
      </c>
      <c r="C66">
        <v>0</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row>
    <row r="67" spans="1:80" x14ac:dyDescent="0.2">
      <c r="A67">
        <v>0</v>
      </c>
      <c r="B67">
        <v>0</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row>
    <row r="68" spans="1:80" x14ac:dyDescent="0.2">
      <c r="A68">
        <v>0</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row>
    <row r="69" spans="1:80" x14ac:dyDescent="0.2">
      <c r="A69">
        <v>0</v>
      </c>
      <c r="B69">
        <v>0</v>
      </c>
      <c r="C69">
        <v>0</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row>
    <row r="70" spans="1:80" x14ac:dyDescent="0.2">
      <c r="A70">
        <v>0</v>
      </c>
      <c r="B70">
        <v>0</v>
      </c>
      <c r="C70">
        <v>0</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row>
    <row r="71" spans="1:80" x14ac:dyDescent="0.2">
      <c r="A71">
        <v>0</v>
      </c>
      <c r="B71">
        <v>0</v>
      </c>
      <c r="C71">
        <v>0</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row>
    <row r="72" spans="1:80" x14ac:dyDescent="0.2">
      <c r="A72">
        <v>0</v>
      </c>
      <c r="B72">
        <v>0</v>
      </c>
      <c r="C72">
        <v>0</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row>
    <row r="73" spans="1:80" x14ac:dyDescent="0.2">
      <c r="A73">
        <v>0</v>
      </c>
      <c r="B73">
        <v>0</v>
      </c>
      <c r="C73">
        <v>0</v>
      </c>
      <c r="D73">
        <v>0</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row>
    <row r="74" spans="1:80" x14ac:dyDescent="0.2">
      <c r="A74">
        <v>0</v>
      </c>
      <c r="B74">
        <v>0</v>
      </c>
      <c r="C74">
        <v>0</v>
      </c>
      <c r="D74">
        <v>0</v>
      </c>
      <c r="E74">
        <v>0</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row>
    <row r="75" spans="1:80" x14ac:dyDescent="0.2">
      <c r="A75">
        <v>0</v>
      </c>
      <c r="B75">
        <v>0</v>
      </c>
      <c r="C75">
        <v>0</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row>
    <row r="76" spans="1:80" x14ac:dyDescent="0.2">
      <c r="A76">
        <v>0</v>
      </c>
      <c r="B76">
        <v>0</v>
      </c>
      <c r="C76">
        <v>0</v>
      </c>
      <c r="D76">
        <v>0</v>
      </c>
      <c r="E76">
        <v>0</v>
      </c>
      <c r="F76">
        <v>0</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row>
    <row r="77" spans="1:80" x14ac:dyDescent="0.2">
      <c r="A77">
        <v>0</v>
      </c>
      <c r="B77">
        <v>0</v>
      </c>
      <c r="C77">
        <v>0</v>
      </c>
      <c r="D77">
        <v>0</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row>
    <row r="78" spans="1:80" x14ac:dyDescent="0.2">
      <c r="A78">
        <v>0</v>
      </c>
      <c r="B78">
        <v>0</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row>
    <row r="79" spans="1:80" x14ac:dyDescent="0.2">
      <c r="A79">
        <v>0</v>
      </c>
      <c r="B79">
        <v>0</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row>
    <row r="80" spans="1:80" x14ac:dyDescent="0.2">
      <c r="A80">
        <v>0</v>
      </c>
      <c r="B80">
        <v>0</v>
      </c>
      <c r="C80">
        <v>0</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row>
    <row r="81" spans="1:80" x14ac:dyDescent="0.2">
      <c r="A81">
        <v>0</v>
      </c>
      <c r="B81">
        <v>0</v>
      </c>
      <c r="C81">
        <v>0</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row>
    <row r="82" spans="1:80" x14ac:dyDescent="0.2">
      <c r="A82">
        <v>0</v>
      </c>
      <c r="B82">
        <v>0</v>
      </c>
      <c r="C82">
        <v>0</v>
      </c>
      <c r="D82">
        <v>0</v>
      </c>
      <c r="E82">
        <v>0</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row>
    <row r="83" spans="1:80" x14ac:dyDescent="0.2">
      <c r="A83">
        <v>0</v>
      </c>
      <c r="B83">
        <v>0</v>
      </c>
      <c r="C83">
        <v>0</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row>
    <row r="84" spans="1:80" x14ac:dyDescent="0.2">
      <c r="A84">
        <v>0</v>
      </c>
      <c r="B84">
        <v>0</v>
      </c>
      <c r="C84">
        <v>0</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row>
    <row r="85" spans="1:80" x14ac:dyDescent="0.2">
      <c r="A85">
        <v>0</v>
      </c>
      <c r="B85">
        <v>0</v>
      </c>
      <c r="C85">
        <v>0</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row>
    <row r="86" spans="1:80" x14ac:dyDescent="0.2">
      <c r="A86">
        <v>0</v>
      </c>
      <c r="B86">
        <v>0</v>
      </c>
      <c r="C86">
        <v>0</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row>
    <row r="87" spans="1:80" x14ac:dyDescent="0.2">
      <c r="A87">
        <v>0</v>
      </c>
      <c r="B87">
        <v>0</v>
      </c>
      <c r="C87">
        <v>0</v>
      </c>
      <c r="D87">
        <v>0</v>
      </c>
      <c r="E87">
        <v>0</v>
      </c>
      <c r="F87">
        <v>0</v>
      </c>
      <c r="G87">
        <v>0</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row>
    <row r="88" spans="1:80" x14ac:dyDescent="0.2">
      <c r="A88">
        <v>0</v>
      </c>
      <c r="B88">
        <v>0</v>
      </c>
      <c r="C88">
        <v>0</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row>
    <row r="89" spans="1:80" x14ac:dyDescent="0.2">
      <c r="A89">
        <v>0</v>
      </c>
      <c r="B89">
        <v>0</v>
      </c>
      <c r="C89">
        <v>0</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row>
    <row r="90" spans="1:80" x14ac:dyDescent="0.2">
      <c r="A90">
        <v>0</v>
      </c>
      <c r="B90">
        <v>0</v>
      </c>
      <c r="C90">
        <v>0</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row>
    <row r="92" spans="1:80" x14ac:dyDescent="0.2">
      <c r="A92" s="40" t="s">
        <v>589</v>
      </c>
    </row>
    <row r="93" spans="1:80" x14ac:dyDescent="0.2">
      <c r="A93">
        <f t="array" ref="A93:CB172">IF('04 · Matriz'!$C$6:$CD$85=4,3,IF(ISNUMBER('04 · Matriz'!$C$6:$CD$85),'04 · Matriz'!$C$6:$CD$85,0))</f>
      </c>
      <c r="B93">
        <v>0</v>
      </c>
      <c r="C93">
        <v>0</v>
      </c>
      <c r="D93">
        <v>0</v>
      </c>
      <c r="E93">
        <v>0</v>
      </c>
      <c r="F93">
        <v>0</v>
      </c>
      <c r="G93">
        <v>0</v>
      </c>
      <c r="H93">
        <v>0</v>
      </c>
      <c r="I93">
        <v>0</v>
      </c>
      <c r="J93">
        <v>0</v>
      </c>
      <c r="K93">
        <v>0</v>
      </c>
      <c r="L93">
        <v>0</v>
      </c>
      <c r="M93">
        <v>0</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row>
    <row r="94" spans="1:80" x14ac:dyDescent="0.2">
      <c r="A94">
        <v>0</v>
      </c>
      <c r="B94">
        <v>0</v>
      </c>
      <c r="C94">
        <v>0</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row>
    <row r="95" spans="1:80" x14ac:dyDescent="0.2">
      <c r="A95">
        <v>0</v>
      </c>
      <c r="B95">
        <v>0</v>
      </c>
      <c r="C95">
        <v>0</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row>
    <row r="96" spans="1:80" x14ac:dyDescent="0.2">
      <c r="A96">
        <v>0</v>
      </c>
      <c r="B96">
        <v>0</v>
      </c>
      <c r="C96">
        <v>0</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row>
    <row r="97" spans="1:80" x14ac:dyDescent="0.2">
      <c r="A97">
        <v>0</v>
      </c>
      <c r="B97">
        <v>0</v>
      </c>
      <c r="C97">
        <v>0</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row>
    <row r="98" spans="1:80" x14ac:dyDescent="0.2">
      <c r="A98">
        <v>0</v>
      </c>
      <c r="B98">
        <v>0</v>
      </c>
      <c r="C98">
        <v>0</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row>
    <row r="99" spans="1:80" x14ac:dyDescent="0.2">
      <c r="A99">
        <v>0</v>
      </c>
      <c r="B99">
        <v>0</v>
      </c>
      <c r="C99">
        <v>0</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row>
    <row r="100" spans="1:80" x14ac:dyDescent="0.2">
      <c r="A100">
        <v>0</v>
      </c>
      <c r="B100">
        <v>0</v>
      </c>
      <c r="C100">
        <v>0</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row>
    <row r="101" spans="1:80" x14ac:dyDescent="0.2">
      <c r="A101">
        <v>0</v>
      </c>
      <c r="B101">
        <v>0</v>
      </c>
      <c r="C101">
        <v>0</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row>
    <row r="102" spans="1:80" x14ac:dyDescent="0.2">
      <c r="A102">
        <v>0</v>
      </c>
      <c r="B102">
        <v>0</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row>
    <row r="103" spans="1:80" x14ac:dyDescent="0.2">
      <c r="A103">
        <v>0</v>
      </c>
      <c r="B103">
        <v>0</v>
      </c>
      <c r="C103">
        <v>0</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c r="BW103">
        <v>0</v>
      </c>
      <c r="BX103">
        <v>0</v>
      </c>
      <c r="BY103">
        <v>0</v>
      </c>
      <c r="BZ103">
        <v>0</v>
      </c>
      <c r="CA103">
        <v>0</v>
      </c>
      <c r="CB103">
        <v>0</v>
      </c>
    </row>
    <row r="104" spans="1:80" x14ac:dyDescent="0.2">
      <c r="A104">
        <v>0</v>
      </c>
      <c r="B104">
        <v>0</v>
      </c>
      <c r="C104">
        <v>0</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row>
    <row r="105" spans="1:80" x14ac:dyDescent="0.2">
      <c r="A105">
        <v>0</v>
      </c>
      <c r="B105">
        <v>0</v>
      </c>
      <c r="C105">
        <v>0</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row>
    <row r="106" spans="1:80" x14ac:dyDescent="0.2">
      <c r="A106">
        <v>0</v>
      </c>
      <c r="B106">
        <v>0</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row>
    <row r="107" spans="1:80" x14ac:dyDescent="0.2">
      <c r="A107">
        <v>0</v>
      </c>
      <c r="B107">
        <v>0</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row>
    <row r="108" spans="1:80" x14ac:dyDescent="0.2">
      <c r="A108">
        <v>0</v>
      </c>
      <c r="B108">
        <v>0</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row>
    <row r="109" spans="1:80" x14ac:dyDescent="0.2">
      <c r="A109">
        <v>0</v>
      </c>
      <c r="B109">
        <v>0</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0</v>
      </c>
      <c r="CB109">
        <v>0</v>
      </c>
    </row>
    <row r="110" spans="1:80" x14ac:dyDescent="0.2">
      <c r="A110">
        <v>0</v>
      </c>
      <c r="B110">
        <v>0</v>
      </c>
      <c r="C110">
        <v>0</v>
      </c>
      <c r="D110">
        <v>0</v>
      </c>
      <c r="E110">
        <v>0</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v>0</v>
      </c>
      <c r="CB110">
        <v>0</v>
      </c>
    </row>
    <row r="111" spans="1:80" x14ac:dyDescent="0.2">
      <c r="A111">
        <v>0</v>
      </c>
      <c r="B111">
        <v>0</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0</v>
      </c>
      <c r="CA111">
        <v>0</v>
      </c>
      <c r="CB111">
        <v>0</v>
      </c>
    </row>
    <row r="112" spans="1:80" x14ac:dyDescent="0.2">
      <c r="A112">
        <v>0</v>
      </c>
      <c r="B112">
        <v>0</v>
      </c>
      <c r="C112">
        <v>0</v>
      </c>
      <c r="D112">
        <v>0</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row>
    <row r="113" spans="1:80" x14ac:dyDescent="0.2">
      <c r="A113">
        <v>0</v>
      </c>
      <c r="B113">
        <v>0</v>
      </c>
      <c r="C113">
        <v>0</v>
      </c>
      <c r="D113">
        <v>0</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row>
    <row r="114" spans="1:80" x14ac:dyDescent="0.2">
      <c r="A114">
        <v>0</v>
      </c>
      <c r="B114">
        <v>0</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row>
    <row r="115" spans="1:80" x14ac:dyDescent="0.2">
      <c r="A115">
        <v>0</v>
      </c>
      <c r="B115">
        <v>0</v>
      </c>
      <c r="C115">
        <v>0</v>
      </c>
      <c r="D115">
        <v>0</v>
      </c>
      <c r="E115">
        <v>0</v>
      </c>
      <c r="F115">
        <v>0</v>
      </c>
      <c r="G115">
        <v>0</v>
      </c>
      <c r="H115">
        <v>0</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c r="BH115">
        <v>0</v>
      </c>
      <c r="BI115">
        <v>0</v>
      </c>
      <c r="BJ115">
        <v>0</v>
      </c>
      <c r="BK115">
        <v>0</v>
      </c>
      <c r="BL115">
        <v>0</v>
      </c>
      <c r="BM115">
        <v>0</v>
      </c>
      <c r="BN115">
        <v>0</v>
      </c>
      <c r="BO115">
        <v>0</v>
      </c>
      <c r="BP115">
        <v>0</v>
      </c>
      <c r="BQ115">
        <v>0</v>
      </c>
      <c r="BR115">
        <v>0</v>
      </c>
      <c r="BS115">
        <v>0</v>
      </c>
      <c r="BT115">
        <v>0</v>
      </c>
      <c r="BU115">
        <v>0</v>
      </c>
      <c r="BV115">
        <v>0</v>
      </c>
      <c r="BW115">
        <v>0</v>
      </c>
      <c r="BX115">
        <v>0</v>
      </c>
      <c r="BY115">
        <v>0</v>
      </c>
      <c r="BZ115">
        <v>0</v>
      </c>
      <c r="CA115">
        <v>0</v>
      </c>
      <c r="CB115">
        <v>0</v>
      </c>
    </row>
    <row r="116" spans="1:80" x14ac:dyDescent="0.2">
      <c r="A116">
        <v>0</v>
      </c>
      <c r="B116">
        <v>0</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0</v>
      </c>
      <c r="BP116">
        <v>0</v>
      </c>
      <c r="BQ116">
        <v>0</v>
      </c>
      <c r="BR116">
        <v>0</v>
      </c>
      <c r="BS116">
        <v>0</v>
      </c>
      <c r="BT116">
        <v>0</v>
      </c>
      <c r="BU116">
        <v>0</v>
      </c>
      <c r="BV116">
        <v>0</v>
      </c>
      <c r="BW116">
        <v>0</v>
      </c>
      <c r="BX116">
        <v>0</v>
      </c>
      <c r="BY116">
        <v>0</v>
      </c>
      <c r="BZ116">
        <v>0</v>
      </c>
      <c r="CA116">
        <v>0</v>
      </c>
      <c r="CB116">
        <v>0</v>
      </c>
    </row>
    <row r="117" spans="1:80" x14ac:dyDescent="0.2">
      <c r="A117">
        <v>0</v>
      </c>
      <c r="B117">
        <v>0</v>
      </c>
      <c r="C117">
        <v>0</v>
      </c>
      <c r="D117">
        <v>0</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c r="BY117">
        <v>0</v>
      </c>
      <c r="BZ117">
        <v>0</v>
      </c>
      <c r="CA117">
        <v>0</v>
      </c>
      <c r="CB117">
        <v>0</v>
      </c>
    </row>
    <row r="118" spans="1:80" x14ac:dyDescent="0.2">
      <c r="A118">
        <v>0</v>
      </c>
      <c r="B118">
        <v>0</v>
      </c>
      <c r="C118">
        <v>0</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row>
    <row r="119" spans="1:80" x14ac:dyDescent="0.2">
      <c r="A119">
        <v>0</v>
      </c>
      <c r="B119">
        <v>0</v>
      </c>
      <c r="C119">
        <v>0</v>
      </c>
      <c r="D119">
        <v>0</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row>
    <row r="120" spans="1:80" x14ac:dyDescent="0.2">
      <c r="A120">
        <v>0</v>
      </c>
      <c r="B120">
        <v>0</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row>
    <row r="121" spans="1:80" x14ac:dyDescent="0.2">
      <c r="A121">
        <v>0</v>
      </c>
      <c r="B121">
        <v>0</v>
      </c>
      <c r="C121">
        <v>0</v>
      </c>
      <c r="D121">
        <v>0</v>
      </c>
      <c r="E121">
        <v>0</v>
      </c>
      <c r="F121">
        <v>0</v>
      </c>
      <c r="G121">
        <v>0</v>
      </c>
      <c r="H121">
        <v>0</v>
      </c>
      <c r="I121">
        <v>0</v>
      </c>
      <c r="J121">
        <v>0</v>
      </c>
      <c r="K121">
        <v>0</v>
      </c>
      <c r="L121">
        <v>0</v>
      </c>
      <c r="M121">
        <v>0</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row>
    <row r="122" spans="1:80" x14ac:dyDescent="0.2">
      <c r="A122">
        <v>0</v>
      </c>
      <c r="B122">
        <v>0</v>
      </c>
      <c r="C122">
        <v>0</v>
      </c>
      <c r="D122">
        <v>0</v>
      </c>
      <c r="E122">
        <v>0</v>
      </c>
      <c r="F122">
        <v>0</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row>
    <row r="123" spans="1:80" x14ac:dyDescent="0.2">
      <c r="A123">
        <v>0</v>
      </c>
      <c r="B123">
        <v>0</v>
      </c>
      <c r="C123">
        <v>0</v>
      </c>
      <c r="D123">
        <v>0</v>
      </c>
      <c r="E123">
        <v>0</v>
      </c>
      <c r="F123">
        <v>0</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row>
    <row r="124" spans="1:80" x14ac:dyDescent="0.2">
      <c r="A124">
        <v>0</v>
      </c>
      <c r="B124">
        <v>0</v>
      </c>
      <c r="C124">
        <v>0</v>
      </c>
      <c r="D124">
        <v>0</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row>
    <row r="125" spans="1:80" x14ac:dyDescent="0.2">
      <c r="A125">
        <v>0</v>
      </c>
      <c r="B125">
        <v>0</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row>
    <row r="126" spans="1:80" x14ac:dyDescent="0.2">
      <c r="A126">
        <v>0</v>
      </c>
      <c r="B126">
        <v>0</v>
      </c>
      <c r="C126">
        <v>0</v>
      </c>
      <c r="D126">
        <v>0</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row>
    <row r="127" spans="1:80" x14ac:dyDescent="0.2">
      <c r="A127">
        <v>0</v>
      </c>
      <c r="B127">
        <v>0</v>
      </c>
      <c r="C127">
        <v>0</v>
      </c>
      <c r="D127">
        <v>0</v>
      </c>
      <c r="E127">
        <v>0</v>
      </c>
      <c r="F127">
        <v>0</v>
      </c>
      <c r="G127">
        <v>0</v>
      </c>
      <c r="H127">
        <v>0</v>
      </c>
      <c r="I127">
        <v>0</v>
      </c>
      <c r="J127">
        <v>0</v>
      </c>
      <c r="K127">
        <v>0</v>
      </c>
      <c r="L127">
        <v>0</v>
      </c>
      <c r="M127">
        <v>0</v>
      </c>
      <c r="N127">
        <v>0</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0</v>
      </c>
      <c r="BH127">
        <v>0</v>
      </c>
      <c r="BI127">
        <v>0</v>
      </c>
      <c r="BJ127">
        <v>0</v>
      </c>
      <c r="BK127">
        <v>0</v>
      </c>
      <c r="BL127">
        <v>0</v>
      </c>
      <c r="BM127">
        <v>0</v>
      </c>
      <c r="BN127">
        <v>0</v>
      </c>
      <c r="BO127">
        <v>0</v>
      </c>
      <c r="BP127">
        <v>0</v>
      </c>
      <c r="BQ127">
        <v>0</v>
      </c>
      <c r="BR127">
        <v>0</v>
      </c>
      <c r="BS127">
        <v>0</v>
      </c>
      <c r="BT127">
        <v>0</v>
      </c>
      <c r="BU127">
        <v>0</v>
      </c>
      <c r="BV127">
        <v>0</v>
      </c>
      <c r="BW127">
        <v>0</v>
      </c>
      <c r="BX127">
        <v>0</v>
      </c>
      <c r="BY127">
        <v>0</v>
      </c>
      <c r="BZ127">
        <v>0</v>
      </c>
      <c r="CA127">
        <v>0</v>
      </c>
      <c r="CB127">
        <v>0</v>
      </c>
    </row>
    <row r="128" spans="1:80" x14ac:dyDescent="0.2">
      <c r="A128">
        <v>0</v>
      </c>
      <c r="B128">
        <v>0</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c r="BW128">
        <v>0</v>
      </c>
      <c r="BX128">
        <v>0</v>
      </c>
      <c r="BY128">
        <v>0</v>
      </c>
      <c r="BZ128">
        <v>0</v>
      </c>
      <c r="CA128">
        <v>0</v>
      </c>
      <c r="CB128">
        <v>0</v>
      </c>
    </row>
    <row r="129" spans="1:80" x14ac:dyDescent="0.2">
      <c r="A129">
        <v>0</v>
      </c>
      <c r="B129">
        <v>0</v>
      </c>
      <c r="C129">
        <v>0</v>
      </c>
      <c r="D129">
        <v>0</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c r="BS129">
        <v>0</v>
      </c>
      <c r="BT129">
        <v>0</v>
      </c>
      <c r="BU129">
        <v>0</v>
      </c>
      <c r="BV129">
        <v>0</v>
      </c>
      <c r="BW129">
        <v>0</v>
      </c>
      <c r="BX129">
        <v>0</v>
      </c>
      <c r="BY129">
        <v>0</v>
      </c>
      <c r="BZ129">
        <v>0</v>
      </c>
      <c r="CA129">
        <v>0</v>
      </c>
      <c r="CB129">
        <v>0</v>
      </c>
    </row>
    <row r="130" spans="1:80" x14ac:dyDescent="0.2">
      <c r="A130">
        <v>0</v>
      </c>
      <c r="B130">
        <v>0</v>
      </c>
      <c r="C130">
        <v>0</v>
      </c>
      <c r="D130">
        <v>0</v>
      </c>
      <c r="E130">
        <v>0</v>
      </c>
      <c r="F130">
        <v>0</v>
      </c>
      <c r="G130">
        <v>0</v>
      </c>
      <c r="H130">
        <v>0</v>
      </c>
      <c r="I130">
        <v>0</v>
      </c>
      <c r="J130">
        <v>0</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row>
    <row r="131" spans="1:80" x14ac:dyDescent="0.2">
      <c r="A131">
        <v>0</v>
      </c>
      <c r="B131">
        <v>0</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row>
    <row r="132" spans="1:80" x14ac:dyDescent="0.2">
      <c r="A132">
        <v>0</v>
      </c>
      <c r="B132">
        <v>0</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row>
    <row r="133" spans="1:80" x14ac:dyDescent="0.2">
      <c r="A133">
        <v>0</v>
      </c>
      <c r="B133">
        <v>0</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row>
    <row r="134" spans="1:80" x14ac:dyDescent="0.2">
      <c r="A134">
        <v>0</v>
      </c>
      <c r="B134">
        <v>0</v>
      </c>
      <c r="C134">
        <v>0</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row>
    <row r="135" spans="1:80" x14ac:dyDescent="0.2">
      <c r="A135">
        <v>0</v>
      </c>
      <c r="B135">
        <v>0</v>
      </c>
      <c r="C135">
        <v>0</v>
      </c>
      <c r="D135">
        <v>0</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row>
    <row r="136" spans="1:80" x14ac:dyDescent="0.2">
      <c r="A136">
        <v>0</v>
      </c>
      <c r="B136">
        <v>0</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row>
    <row r="137" spans="1:80" x14ac:dyDescent="0.2">
      <c r="A137">
        <v>0</v>
      </c>
      <c r="B137">
        <v>0</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row>
    <row r="138" spans="1:80" x14ac:dyDescent="0.2">
      <c r="A138">
        <v>0</v>
      </c>
      <c r="B138">
        <v>0</v>
      </c>
      <c r="C138">
        <v>0</v>
      </c>
      <c r="D138">
        <v>0</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row>
    <row r="139" spans="1:80" x14ac:dyDescent="0.2">
      <c r="A139">
        <v>0</v>
      </c>
      <c r="B139">
        <v>0</v>
      </c>
      <c r="C139">
        <v>0</v>
      </c>
      <c r="D139">
        <v>0</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c r="BF139">
        <v>0</v>
      </c>
      <c r="BG139">
        <v>0</v>
      </c>
      <c r="BH139">
        <v>0</v>
      </c>
      <c r="BI139">
        <v>0</v>
      </c>
      <c r="BJ139">
        <v>0</v>
      </c>
      <c r="BK139">
        <v>0</v>
      </c>
      <c r="BL139">
        <v>0</v>
      </c>
      <c r="BM139">
        <v>0</v>
      </c>
      <c r="BN139">
        <v>0</v>
      </c>
      <c r="BO139">
        <v>0</v>
      </c>
      <c r="BP139">
        <v>0</v>
      </c>
      <c r="BQ139">
        <v>0</v>
      </c>
      <c r="BR139">
        <v>0</v>
      </c>
      <c r="BS139">
        <v>0</v>
      </c>
      <c r="BT139">
        <v>0</v>
      </c>
      <c r="BU139">
        <v>0</v>
      </c>
      <c r="BV139">
        <v>0</v>
      </c>
      <c r="BW139">
        <v>0</v>
      </c>
      <c r="BX139">
        <v>0</v>
      </c>
      <c r="BY139">
        <v>0</v>
      </c>
      <c r="BZ139">
        <v>0</v>
      </c>
      <c r="CA139">
        <v>0</v>
      </c>
      <c r="CB139">
        <v>0</v>
      </c>
    </row>
    <row r="140" spans="1:80" x14ac:dyDescent="0.2">
      <c r="A140">
        <v>0</v>
      </c>
      <c r="B140">
        <v>0</v>
      </c>
      <c r="C140">
        <v>0</v>
      </c>
      <c r="D140">
        <v>0</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row>
    <row r="141" spans="1:80" x14ac:dyDescent="0.2">
      <c r="A141">
        <v>0</v>
      </c>
      <c r="B141">
        <v>0</v>
      </c>
      <c r="C141">
        <v>0</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c r="BF141">
        <v>0</v>
      </c>
      <c r="BG141">
        <v>0</v>
      </c>
      <c r="BH141">
        <v>0</v>
      </c>
      <c r="BI141">
        <v>0</v>
      </c>
      <c r="BJ141">
        <v>0</v>
      </c>
      <c r="BK141">
        <v>0</v>
      </c>
      <c r="BL141">
        <v>0</v>
      </c>
      <c r="BM141">
        <v>0</v>
      </c>
      <c r="BN141">
        <v>0</v>
      </c>
      <c r="BO141">
        <v>0</v>
      </c>
      <c r="BP141">
        <v>0</v>
      </c>
      <c r="BQ141">
        <v>0</v>
      </c>
      <c r="BR141">
        <v>0</v>
      </c>
      <c r="BS141">
        <v>0</v>
      </c>
      <c r="BT141">
        <v>0</v>
      </c>
      <c r="BU141">
        <v>0</v>
      </c>
      <c r="BV141">
        <v>0</v>
      </c>
      <c r="BW141">
        <v>0</v>
      </c>
      <c r="BX141">
        <v>0</v>
      </c>
      <c r="BY141">
        <v>0</v>
      </c>
      <c r="BZ141">
        <v>0</v>
      </c>
      <c r="CA141">
        <v>0</v>
      </c>
      <c r="CB141">
        <v>0</v>
      </c>
    </row>
    <row r="142" spans="1:80" x14ac:dyDescent="0.2">
      <c r="A142">
        <v>0</v>
      </c>
      <c r="B142">
        <v>0</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0</v>
      </c>
      <c r="BO142">
        <v>0</v>
      </c>
      <c r="BP142">
        <v>0</v>
      </c>
      <c r="BQ142">
        <v>0</v>
      </c>
      <c r="BR142">
        <v>0</v>
      </c>
      <c r="BS142">
        <v>0</v>
      </c>
      <c r="BT142">
        <v>0</v>
      </c>
      <c r="BU142">
        <v>0</v>
      </c>
      <c r="BV142">
        <v>0</v>
      </c>
      <c r="BW142">
        <v>0</v>
      </c>
      <c r="BX142">
        <v>0</v>
      </c>
      <c r="BY142">
        <v>0</v>
      </c>
      <c r="BZ142">
        <v>0</v>
      </c>
      <c r="CA142">
        <v>0</v>
      </c>
      <c r="CB142">
        <v>0</v>
      </c>
    </row>
    <row r="143" spans="1:80" x14ac:dyDescent="0.2">
      <c r="A143">
        <v>0</v>
      </c>
      <c r="B143">
        <v>0</v>
      </c>
      <c r="C143">
        <v>0</v>
      </c>
      <c r="D143">
        <v>0</v>
      </c>
      <c r="E143">
        <v>0</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row>
    <row r="144" spans="1:80" x14ac:dyDescent="0.2">
      <c r="A144">
        <v>0</v>
      </c>
      <c r="B144">
        <v>0</v>
      </c>
      <c r="C144">
        <v>0</v>
      </c>
      <c r="D144">
        <v>0</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0</v>
      </c>
      <c r="BP144">
        <v>0</v>
      </c>
      <c r="BQ144">
        <v>0</v>
      </c>
      <c r="BR144">
        <v>0</v>
      </c>
      <c r="BS144">
        <v>0</v>
      </c>
      <c r="BT144">
        <v>0</v>
      </c>
      <c r="BU144">
        <v>0</v>
      </c>
      <c r="BV144">
        <v>0</v>
      </c>
      <c r="BW144">
        <v>0</v>
      </c>
      <c r="BX144">
        <v>0</v>
      </c>
      <c r="BY144">
        <v>0</v>
      </c>
      <c r="BZ144">
        <v>0</v>
      </c>
      <c r="CA144">
        <v>0</v>
      </c>
      <c r="CB144">
        <v>0</v>
      </c>
    </row>
    <row r="145" spans="1:80" x14ac:dyDescent="0.2">
      <c r="A145">
        <v>0</v>
      </c>
      <c r="B145">
        <v>0</v>
      </c>
      <c r="C145">
        <v>0</v>
      </c>
      <c r="D145">
        <v>0</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0</v>
      </c>
      <c r="BU145">
        <v>0</v>
      </c>
      <c r="BV145">
        <v>0</v>
      </c>
      <c r="BW145">
        <v>0</v>
      </c>
      <c r="BX145">
        <v>0</v>
      </c>
      <c r="BY145">
        <v>0</v>
      </c>
      <c r="BZ145">
        <v>0</v>
      </c>
      <c r="CA145">
        <v>0</v>
      </c>
      <c r="CB145">
        <v>0</v>
      </c>
    </row>
    <row r="146" spans="1:80" x14ac:dyDescent="0.2">
      <c r="A146">
        <v>0</v>
      </c>
      <c r="B146">
        <v>0</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c r="BZ146">
        <v>0</v>
      </c>
      <c r="CA146">
        <v>0</v>
      </c>
      <c r="CB146">
        <v>0</v>
      </c>
    </row>
    <row r="147" spans="1:80" x14ac:dyDescent="0.2">
      <c r="A147">
        <v>0</v>
      </c>
      <c r="B147">
        <v>0</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c r="BF147">
        <v>0</v>
      </c>
      <c r="BG147">
        <v>0</v>
      </c>
      <c r="BH147">
        <v>0</v>
      </c>
      <c r="BI147">
        <v>0</v>
      </c>
      <c r="BJ147">
        <v>0</v>
      </c>
      <c r="BK147">
        <v>0</v>
      </c>
      <c r="BL147">
        <v>0</v>
      </c>
      <c r="BM147">
        <v>0</v>
      </c>
      <c r="BN147">
        <v>0</v>
      </c>
      <c r="BO147">
        <v>0</v>
      </c>
      <c r="BP147">
        <v>0</v>
      </c>
      <c r="BQ147">
        <v>0</v>
      </c>
      <c r="BR147">
        <v>0</v>
      </c>
      <c r="BS147">
        <v>0</v>
      </c>
      <c r="BT147">
        <v>0</v>
      </c>
      <c r="BU147">
        <v>0</v>
      </c>
      <c r="BV147">
        <v>0</v>
      </c>
      <c r="BW147">
        <v>0</v>
      </c>
      <c r="BX147">
        <v>0</v>
      </c>
      <c r="BY147">
        <v>0</v>
      </c>
      <c r="BZ147">
        <v>0</v>
      </c>
      <c r="CA147">
        <v>0</v>
      </c>
      <c r="CB147">
        <v>0</v>
      </c>
    </row>
    <row r="148" spans="1:80" x14ac:dyDescent="0.2">
      <c r="A148">
        <v>0</v>
      </c>
      <c r="B148">
        <v>0</v>
      </c>
      <c r="C148">
        <v>0</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row>
    <row r="149" spans="1:80" x14ac:dyDescent="0.2">
      <c r="A149">
        <v>0</v>
      </c>
      <c r="B149">
        <v>0</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v>0</v>
      </c>
      <c r="CB149">
        <v>0</v>
      </c>
    </row>
    <row r="150" spans="1:80" x14ac:dyDescent="0.2">
      <c r="A150">
        <v>0</v>
      </c>
      <c r="B150">
        <v>0</v>
      </c>
      <c r="C150">
        <v>0</v>
      </c>
      <c r="D150">
        <v>0</v>
      </c>
      <c r="E150">
        <v>0</v>
      </c>
      <c r="F150">
        <v>0</v>
      </c>
      <c r="G150">
        <v>0</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row>
    <row r="151" spans="1:80" x14ac:dyDescent="0.2">
      <c r="A151">
        <v>0</v>
      </c>
      <c r="B151">
        <v>0</v>
      </c>
      <c r="C151">
        <v>0</v>
      </c>
      <c r="D151">
        <v>0</v>
      </c>
      <c r="E151">
        <v>0</v>
      </c>
      <c r="F151">
        <v>0</v>
      </c>
      <c r="G151">
        <v>0</v>
      </c>
      <c r="H151">
        <v>0</v>
      </c>
      <c r="I151">
        <v>0</v>
      </c>
      <c r="J151">
        <v>0</v>
      </c>
      <c r="K151">
        <v>0</v>
      </c>
      <c r="L151">
        <v>0</v>
      </c>
      <c r="M151">
        <v>0</v>
      </c>
      <c r="N151">
        <v>0</v>
      </c>
      <c r="O151">
        <v>0</v>
      </c>
      <c r="P151">
        <v>0</v>
      </c>
      <c r="Q151">
        <v>0</v>
      </c>
      <c r="R151">
        <v>0</v>
      </c>
      <c r="S151">
        <v>0</v>
      </c>
      <c r="T151">
        <v>0</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0</v>
      </c>
      <c r="AU151">
        <v>0</v>
      </c>
      <c r="AV151">
        <v>0</v>
      </c>
      <c r="AW151">
        <v>0</v>
      </c>
      <c r="AX151">
        <v>0</v>
      </c>
      <c r="AY151">
        <v>0</v>
      </c>
      <c r="AZ151">
        <v>0</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row>
    <row r="152" spans="1:80" x14ac:dyDescent="0.2">
      <c r="A152">
        <v>0</v>
      </c>
      <c r="B152">
        <v>0</v>
      </c>
      <c r="C152">
        <v>0</v>
      </c>
      <c r="D152">
        <v>0</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row>
    <row r="153" spans="1:80" x14ac:dyDescent="0.2">
      <c r="A153">
        <v>0</v>
      </c>
      <c r="B153">
        <v>0</v>
      </c>
      <c r="C153">
        <v>0</v>
      </c>
      <c r="D153">
        <v>0</v>
      </c>
      <c r="E153">
        <v>0</v>
      </c>
      <c r="F153">
        <v>0</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row>
    <row r="154" spans="1:80" x14ac:dyDescent="0.2">
      <c r="A154">
        <v>0</v>
      </c>
      <c r="B154">
        <v>0</v>
      </c>
      <c r="C154">
        <v>0</v>
      </c>
      <c r="D154">
        <v>0</v>
      </c>
      <c r="E154">
        <v>0</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row>
    <row r="155" spans="1:80" x14ac:dyDescent="0.2">
      <c r="A155">
        <v>0</v>
      </c>
      <c r="B155">
        <v>0</v>
      </c>
      <c r="C155">
        <v>0</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row>
    <row r="156" spans="1:80" x14ac:dyDescent="0.2">
      <c r="A156">
        <v>0</v>
      </c>
      <c r="B156">
        <v>0</v>
      </c>
      <c r="C156">
        <v>0</v>
      </c>
      <c r="D156">
        <v>0</v>
      </c>
      <c r="E156">
        <v>0</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row>
    <row r="157" spans="1:80" x14ac:dyDescent="0.2">
      <c r="A157">
        <v>0</v>
      </c>
      <c r="B157">
        <v>0</v>
      </c>
      <c r="C157">
        <v>0</v>
      </c>
      <c r="D157">
        <v>0</v>
      </c>
      <c r="E157">
        <v>0</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c r="BW157">
        <v>0</v>
      </c>
      <c r="BX157">
        <v>0</v>
      </c>
      <c r="BY157">
        <v>0</v>
      </c>
      <c r="BZ157">
        <v>0</v>
      </c>
      <c r="CA157">
        <v>0</v>
      </c>
      <c r="CB157">
        <v>0</v>
      </c>
    </row>
    <row r="158" spans="1:80" x14ac:dyDescent="0.2">
      <c r="A158">
        <v>0</v>
      </c>
      <c r="B158">
        <v>0</v>
      </c>
      <c r="C158">
        <v>0</v>
      </c>
      <c r="D158">
        <v>0</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row>
    <row r="159" spans="1:80" x14ac:dyDescent="0.2">
      <c r="A159">
        <v>0</v>
      </c>
      <c r="B159">
        <v>0</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c r="BG159">
        <v>0</v>
      </c>
      <c r="BH159">
        <v>0</v>
      </c>
      <c r="BI159">
        <v>0</v>
      </c>
      <c r="BJ159">
        <v>0</v>
      </c>
      <c r="BK159">
        <v>0</v>
      </c>
      <c r="BL159">
        <v>0</v>
      </c>
      <c r="BM159">
        <v>0</v>
      </c>
      <c r="BN159">
        <v>0</v>
      </c>
      <c r="BO159">
        <v>0</v>
      </c>
      <c r="BP159">
        <v>0</v>
      </c>
      <c r="BQ159">
        <v>0</v>
      </c>
      <c r="BR159">
        <v>0</v>
      </c>
      <c r="BS159">
        <v>0</v>
      </c>
      <c r="BT159">
        <v>0</v>
      </c>
      <c r="BU159">
        <v>0</v>
      </c>
      <c r="BV159">
        <v>0</v>
      </c>
      <c r="BW159">
        <v>0</v>
      </c>
      <c r="BX159">
        <v>0</v>
      </c>
      <c r="BY159">
        <v>0</v>
      </c>
      <c r="BZ159">
        <v>0</v>
      </c>
      <c r="CA159">
        <v>0</v>
      </c>
      <c r="CB159">
        <v>0</v>
      </c>
    </row>
    <row r="160" spans="1:80" x14ac:dyDescent="0.2">
      <c r="A160">
        <v>0</v>
      </c>
      <c r="B160">
        <v>0</v>
      </c>
      <c r="C160">
        <v>0</v>
      </c>
      <c r="D160">
        <v>0</v>
      </c>
      <c r="E160">
        <v>0</v>
      </c>
      <c r="F160">
        <v>0</v>
      </c>
      <c r="G160">
        <v>0</v>
      </c>
      <c r="H160">
        <v>0</v>
      </c>
      <c r="I160">
        <v>0</v>
      </c>
      <c r="J160">
        <v>0</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0</v>
      </c>
      <c r="BO160">
        <v>0</v>
      </c>
      <c r="BP160">
        <v>0</v>
      </c>
      <c r="BQ160">
        <v>0</v>
      </c>
      <c r="BR160">
        <v>0</v>
      </c>
      <c r="BS160">
        <v>0</v>
      </c>
      <c r="BT160">
        <v>0</v>
      </c>
      <c r="BU160">
        <v>0</v>
      </c>
      <c r="BV160">
        <v>0</v>
      </c>
      <c r="BW160">
        <v>0</v>
      </c>
      <c r="BX160">
        <v>0</v>
      </c>
      <c r="BY160">
        <v>0</v>
      </c>
      <c r="BZ160">
        <v>0</v>
      </c>
      <c r="CA160">
        <v>0</v>
      </c>
      <c r="CB160">
        <v>0</v>
      </c>
    </row>
    <row r="161" spans="1:80" x14ac:dyDescent="0.2">
      <c r="A161">
        <v>0</v>
      </c>
      <c r="B161">
        <v>0</v>
      </c>
      <c r="C161">
        <v>0</v>
      </c>
      <c r="D161">
        <v>0</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row>
    <row r="162" spans="1:80" x14ac:dyDescent="0.2">
      <c r="A162">
        <v>0</v>
      </c>
      <c r="B162">
        <v>0</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0</v>
      </c>
      <c r="BO162">
        <v>0</v>
      </c>
      <c r="BP162">
        <v>0</v>
      </c>
      <c r="BQ162">
        <v>0</v>
      </c>
      <c r="BR162">
        <v>0</v>
      </c>
      <c r="BS162">
        <v>0</v>
      </c>
      <c r="BT162">
        <v>0</v>
      </c>
      <c r="BU162">
        <v>0</v>
      </c>
      <c r="BV162">
        <v>0</v>
      </c>
      <c r="BW162">
        <v>0</v>
      </c>
      <c r="BX162">
        <v>0</v>
      </c>
      <c r="BY162">
        <v>0</v>
      </c>
      <c r="BZ162">
        <v>0</v>
      </c>
      <c r="CA162">
        <v>0</v>
      </c>
      <c r="CB162">
        <v>0</v>
      </c>
    </row>
    <row r="163" spans="1:80" x14ac:dyDescent="0.2">
      <c r="A163">
        <v>0</v>
      </c>
      <c r="B163">
        <v>0</v>
      </c>
      <c r="C163">
        <v>0</v>
      </c>
      <c r="D163">
        <v>0</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row>
    <row r="164" spans="1:80" x14ac:dyDescent="0.2">
      <c r="A164">
        <v>0</v>
      </c>
      <c r="B164">
        <v>0</v>
      </c>
      <c r="C164">
        <v>0</v>
      </c>
      <c r="D164">
        <v>0</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row>
    <row r="165" spans="1:80" x14ac:dyDescent="0.2">
      <c r="A165">
        <v>0</v>
      </c>
      <c r="B165">
        <v>0</v>
      </c>
      <c r="C165">
        <v>0</v>
      </c>
      <c r="D165">
        <v>0</v>
      </c>
      <c r="E165">
        <v>0</v>
      </c>
      <c r="F165">
        <v>0</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row>
    <row r="166" spans="1:80" x14ac:dyDescent="0.2">
      <c r="A166">
        <v>0</v>
      </c>
      <c r="B166">
        <v>0</v>
      </c>
      <c r="C166">
        <v>0</v>
      </c>
      <c r="D166">
        <v>0</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row>
    <row r="167" spans="1:80" x14ac:dyDescent="0.2">
      <c r="A167">
        <v>0</v>
      </c>
      <c r="B167">
        <v>0</v>
      </c>
      <c r="C167">
        <v>0</v>
      </c>
      <c r="D167">
        <v>0</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row>
    <row r="168" spans="1:80" x14ac:dyDescent="0.2">
      <c r="A168">
        <v>0</v>
      </c>
      <c r="B168">
        <v>0</v>
      </c>
      <c r="C168">
        <v>0</v>
      </c>
      <c r="D168">
        <v>0</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row>
    <row r="169" spans="1:80" x14ac:dyDescent="0.2">
      <c r="A169">
        <v>0</v>
      </c>
      <c r="B169">
        <v>0</v>
      </c>
      <c r="C169">
        <v>0</v>
      </c>
      <c r="D169">
        <v>0</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row>
    <row r="170" spans="1:80" x14ac:dyDescent="0.2">
      <c r="A170">
        <v>0</v>
      </c>
      <c r="B170">
        <v>0</v>
      </c>
      <c r="C170">
        <v>0</v>
      </c>
      <c r="D170">
        <v>0</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row>
    <row r="171" spans="1:80" x14ac:dyDescent="0.2">
      <c r="A171">
        <v>0</v>
      </c>
      <c r="B171">
        <v>0</v>
      </c>
      <c r="C171">
        <v>0</v>
      </c>
      <c r="D171">
        <v>0</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row>
    <row r="172" spans="1:80" x14ac:dyDescent="0.2">
      <c r="A172">
        <v>0</v>
      </c>
      <c r="B172">
        <v>0</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c r="BF172">
        <v>0</v>
      </c>
      <c r="BG172">
        <v>0</v>
      </c>
      <c r="BH172">
        <v>0</v>
      </c>
      <c r="BI172">
        <v>0</v>
      </c>
      <c r="BJ172">
        <v>0</v>
      </c>
      <c r="BK172">
        <v>0</v>
      </c>
      <c r="BL172">
        <v>0</v>
      </c>
      <c r="BM172">
        <v>0</v>
      </c>
      <c r="BN172">
        <v>0</v>
      </c>
      <c r="BO172">
        <v>0</v>
      </c>
      <c r="BP172">
        <v>0</v>
      </c>
      <c r="BQ172">
        <v>0</v>
      </c>
      <c r="BR172">
        <v>0</v>
      </c>
      <c r="BS172">
        <v>0</v>
      </c>
      <c r="BT172">
        <v>0</v>
      </c>
      <c r="BU172">
        <v>0</v>
      </c>
      <c r="BV172">
        <v>0</v>
      </c>
      <c r="BW172">
        <v>0</v>
      </c>
      <c r="BX172">
        <v>0</v>
      </c>
      <c r="BY172">
        <v>0</v>
      </c>
      <c r="BZ172">
        <v>0</v>
      </c>
      <c r="CA172">
        <v>0</v>
      </c>
      <c r="CB172">
        <v>0</v>
      </c>
    </row>
    <row r="174" spans="1:80" x14ac:dyDescent="0.2">
      <c r="A174" s="40" t="s">
        <v>590</v>
      </c>
    </row>
    <row r="175" spans="1:80" x14ac:dyDescent="0.2">
      <c r="A175">
        <f t="array" ref="A175:CB254">MMULT('_motor'!$A$11:$CB$90,'_motor'!$A$11:$CB$90)</f>
      </c>
      <c r="B175">
        <v>0</v>
      </c>
      <c r="C175">
        <v>0</v>
      </c>
      <c r="D175">
        <v>0</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c r="BS175">
        <v>0</v>
      </c>
      <c r="BT175">
        <v>0</v>
      </c>
      <c r="BU175">
        <v>0</v>
      </c>
      <c r="BV175">
        <v>0</v>
      </c>
      <c r="BW175">
        <v>0</v>
      </c>
      <c r="BX175">
        <v>0</v>
      </c>
      <c r="BY175">
        <v>0</v>
      </c>
      <c r="BZ175">
        <v>0</v>
      </c>
      <c r="CA175">
        <v>0</v>
      </c>
      <c r="CB175">
        <v>0</v>
      </c>
    </row>
    <row r="176" spans="1:80" x14ac:dyDescent="0.2">
      <c r="A176">
        <v>0</v>
      </c>
      <c r="B176">
        <v>0</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0</v>
      </c>
      <c r="BO176">
        <v>0</v>
      </c>
      <c r="BP176">
        <v>0</v>
      </c>
      <c r="BQ176">
        <v>0</v>
      </c>
      <c r="BR176">
        <v>0</v>
      </c>
      <c r="BS176">
        <v>0</v>
      </c>
      <c r="BT176">
        <v>0</v>
      </c>
      <c r="BU176">
        <v>0</v>
      </c>
      <c r="BV176">
        <v>0</v>
      </c>
      <c r="BW176">
        <v>0</v>
      </c>
      <c r="BX176">
        <v>0</v>
      </c>
      <c r="BY176">
        <v>0</v>
      </c>
      <c r="BZ176">
        <v>0</v>
      </c>
      <c r="CA176">
        <v>0</v>
      </c>
      <c r="CB176">
        <v>0</v>
      </c>
    </row>
    <row r="177" spans="1:80" x14ac:dyDescent="0.2">
      <c r="A177">
        <v>0</v>
      </c>
      <c r="B177">
        <v>0</v>
      </c>
      <c r="C177">
        <v>0</v>
      </c>
      <c r="D177">
        <v>0</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v>0</v>
      </c>
      <c r="BI177">
        <v>0</v>
      </c>
      <c r="BJ177">
        <v>0</v>
      </c>
      <c r="BK177">
        <v>0</v>
      </c>
      <c r="BL177">
        <v>0</v>
      </c>
      <c r="BM177">
        <v>0</v>
      </c>
      <c r="BN177">
        <v>0</v>
      </c>
      <c r="BO177">
        <v>0</v>
      </c>
      <c r="BP177">
        <v>0</v>
      </c>
      <c r="BQ177">
        <v>0</v>
      </c>
      <c r="BR177">
        <v>0</v>
      </c>
      <c r="BS177">
        <v>0</v>
      </c>
      <c r="BT177">
        <v>0</v>
      </c>
      <c r="BU177">
        <v>0</v>
      </c>
      <c r="BV177">
        <v>0</v>
      </c>
      <c r="BW177">
        <v>0</v>
      </c>
      <c r="BX177">
        <v>0</v>
      </c>
      <c r="BY177">
        <v>0</v>
      </c>
      <c r="BZ177">
        <v>0</v>
      </c>
      <c r="CA177">
        <v>0</v>
      </c>
      <c r="CB177">
        <v>0</v>
      </c>
    </row>
    <row r="178" spans="1:80" x14ac:dyDescent="0.2">
      <c r="A178">
        <v>0</v>
      </c>
      <c r="B178">
        <v>0</v>
      </c>
      <c r="C178">
        <v>0</v>
      </c>
      <c r="D178">
        <v>0</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row>
    <row r="179" spans="1:80" x14ac:dyDescent="0.2">
      <c r="A179">
        <v>0</v>
      </c>
      <c r="B179">
        <v>0</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row>
    <row r="180" spans="1:80" x14ac:dyDescent="0.2">
      <c r="A180">
        <v>0</v>
      </c>
      <c r="B180">
        <v>0</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row>
    <row r="181" spans="1:80" x14ac:dyDescent="0.2">
      <c r="A181">
        <v>0</v>
      </c>
      <c r="B181">
        <v>0</v>
      </c>
      <c r="C181">
        <v>0</v>
      </c>
      <c r="D181">
        <v>0</v>
      </c>
      <c r="E181">
        <v>0</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0</v>
      </c>
      <c r="BO181">
        <v>0</v>
      </c>
      <c r="BP181">
        <v>0</v>
      </c>
      <c r="BQ181">
        <v>0</v>
      </c>
      <c r="BR181">
        <v>0</v>
      </c>
      <c r="BS181">
        <v>0</v>
      </c>
      <c r="BT181">
        <v>0</v>
      </c>
      <c r="BU181">
        <v>0</v>
      </c>
      <c r="BV181">
        <v>0</v>
      </c>
      <c r="BW181">
        <v>0</v>
      </c>
      <c r="BX181">
        <v>0</v>
      </c>
      <c r="BY181">
        <v>0</v>
      </c>
      <c r="BZ181">
        <v>0</v>
      </c>
      <c r="CA181">
        <v>0</v>
      </c>
      <c r="CB181">
        <v>0</v>
      </c>
    </row>
    <row r="182" spans="1:80" x14ac:dyDescent="0.2">
      <c r="A182">
        <v>0</v>
      </c>
      <c r="B182">
        <v>0</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0</v>
      </c>
      <c r="BO182">
        <v>0</v>
      </c>
      <c r="BP182">
        <v>0</v>
      </c>
      <c r="BQ182">
        <v>0</v>
      </c>
      <c r="BR182">
        <v>0</v>
      </c>
      <c r="BS182">
        <v>0</v>
      </c>
      <c r="BT182">
        <v>0</v>
      </c>
      <c r="BU182">
        <v>0</v>
      </c>
      <c r="BV182">
        <v>0</v>
      </c>
      <c r="BW182">
        <v>0</v>
      </c>
      <c r="BX182">
        <v>0</v>
      </c>
      <c r="BY182">
        <v>0</v>
      </c>
      <c r="BZ182">
        <v>0</v>
      </c>
      <c r="CA182">
        <v>0</v>
      </c>
      <c r="CB182">
        <v>0</v>
      </c>
    </row>
    <row r="183" spans="1:80" x14ac:dyDescent="0.2">
      <c r="A183">
        <v>0</v>
      </c>
      <c r="B183">
        <v>0</v>
      </c>
      <c r="C183">
        <v>0</v>
      </c>
      <c r="D183">
        <v>0</v>
      </c>
      <c r="E183">
        <v>0</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0</v>
      </c>
      <c r="BU183">
        <v>0</v>
      </c>
      <c r="BV183">
        <v>0</v>
      </c>
      <c r="BW183">
        <v>0</v>
      </c>
      <c r="BX183">
        <v>0</v>
      </c>
      <c r="BY183">
        <v>0</v>
      </c>
      <c r="BZ183">
        <v>0</v>
      </c>
      <c r="CA183">
        <v>0</v>
      </c>
      <c r="CB183">
        <v>0</v>
      </c>
    </row>
    <row r="184" spans="1:80" x14ac:dyDescent="0.2">
      <c r="A184">
        <v>0</v>
      </c>
      <c r="B184">
        <v>0</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row>
    <row r="185" spans="1:80" x14ac:dyDescent="0.2">
      <c r="A185">
        <v>0</v>
      </c>
      <c r="B185">
        <v>0</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row>
    <row r="186" spans="1:80" x14ac:dyDescent="0.2">
      <c r="A186">
        <v>0</v>
      </c>
      <c r="B186">
        <v>0</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row>
    <row r="187" spans="1:80" x14ac:dyDescent="0.2">
      <c r="A187">
        <v>0</v>
      </c>
      <c r="B187">
        <v>0</v>
      </c>
      <c r="C187">
        <v>0</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v>0</v>
      </c>
      <c r="BS187">
        <v>0</v>
      </c>
      <c r="BT187">
        <v>0</v>
      </c>
      <c r="BU187">
        <v>0</v>
      </c>
      <c r="BV187">
        <v>0</v>
      </c>
      <c r="BW187">
        <v>0</v>
      </c>
      <c r="BX187">
        <v>0</v>
      </c>
      <c r="BY187">
        <v>0</v>
      </c>
      <c r="BZ187">
        <v>0</v>
      </c>
      <c r="CA187">
        <v>0</v>
      </c>
      <c r="CB187">
        <v>0</v>
      </c>
    </row>
    <row r="188" spans="1:80" x14ac:dyDescent="0.2">
      <c r="A188">
        <v>0</v>
      </c>
      <c r="B188">
        <v>0</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0</v>
      </c>
      <c r="BI188">
        <v>0</v>
      </c>
      <c r="BJ188">
        <v>0</v>
      </c>
      <c r="BK188">
        <v>0</v>
      </c>
      <c r="BL188">
        <v>0</v>
      </c>
      <c r="BM188">
        <v>0</v>
      </c>
      <c r="BN188">
        <v>0</v>
      </c>
      <c r="BO188">
        <v>0</v>
      </c>
      <c r="BP188">
        <v>0</v>
      </c>
      <c r="BQ188">
        <v>0</v>
      </c>
      <c r="BR188">
        <v>0</v>
      </c>
      <c r="BS188">
        <v>0</v>
      </c>
      <c r="BT188">
        <v>0</v>
      </c>
      <c r="BU188">
        <v>0</v>
      </c>
      <c r="BV188">
        <v>0</v>
      </c>
      <c r="BW188">
        <v>0</v>
      </c>
      <c r="BX188">
        <v>0</v>
      </c>
      <c r="BY188">
        <v>0</v>
      </c>
      <c r="BZ188">
        <v>0</v>
      </c>
      <c r="CA188">
        <v>0</v>
      </c>
      <c r="CB188">
        <v>0</v>
      </c>
    </row>
    <row r="189" spans="1:80" x14ac:dyDescent="0.2">
      <c r="A189">
        <v>0</v>
      </c>
      <c r="B189">
        <v>0</v>
      </c>
      <c r="C189">
        <v>0</v>
      </c>
      <c r="D189">
        <v>0</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row>
    <row r="190" spans="1:80" x14ac:dyDescent="0.2">
      <c r="A190">
        <v>0</v>
      </c>
      <c r="B190">
        <v>0</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row>
    <row r="191" spans="1:80" x14ac:dyDescent="0.2">
      <c r="A191">
        <v>0</v>
      </c>
      <c r="B191">
        <v>0</v>
      </c>
      <c r="C191">
        <v>0</v>
      </c>
      <c r="D191">
        <v>0</v>
      </c>
      <c r="E191">
        <v>0</v>
      </c>
      <c r="F191">
        <v>0</v>
      </c>
      <c r="G191">
        <v>0</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row>
    <row r="192" spans="1:80" x14ac:dyDescent="0.2">
      <c r="A192">
        <v>0</v>
      </c>
      <c r="B192">
        <v>0</v>
      </c>
      <c r="C192">
        <v>0</v>
      </c>
      <c r="D192">
        <v>0</v>
      </c>
      <c r="E192">
        <v>0</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row>
    <row r="193" spans="1:80" x14ac:dyDescent="0.2">
      <c r="A193">
        <v>0</v>
      </c>
      <c r="B193">
        <v>0</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row>
    <row r="194" spans="1:80" x14ac:dyDescent="0.2">
      <c r="A194">
        <v>0</v>
      </c>
      <c r="B194">
        <v>0</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row>
    <row r="195" spans="1:80" x14ac:dyDescent="0.2">
      <c r="A195">
        <v>0</v>
      </c>
      <c r="B195">
        <v>0</v>
      </c>
      <c r="C195">
        <v>0</v>
      </c>
      <c r="D195">
        <v>0</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row>
    <row r="196" spans="1:80" x14ac:dyDescent="0.2">
      <c r="A196">
        <v>0</v>
      </c>
      <c r="B196">
        <v>0</v>
      </c>
      <c r="C196">
        <v>0</v>
      </c>
      <c r="D196">
        <v>0</v>
      </c>
      <c r="E196">
        <v>0</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row>
    <row r="197" spans="1:80" x14ac:dyDescent="0.2">
      <c r="A197">
        <v>0</v>
      </c>
      <c r="B197">
        <v>0</v>
      </c>
      <c r="C197">
        <v>0</v>
      </c>
      <c r="D197">
        <v>0</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row>
    <row r="198" spans="1:80" x14ac:dyDescent="0.2">
      <c r="A198">
        <v>0</v>
      </c>
      <c r="B198">
        <v>0</v>
      </c>
      <c r="C198">
        <v>0</v>
      </c>
      <c r="D198">
        <v>0</v>
      </c>
      <c r="E198">
        <v>0</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row>
    <row r="199" spans="1:80" x14ac:dyDescent="0.2">
      <c r="A199">
        <v>0</v>
      </c>
      <c r="B199">
        <v>0</v>
      </c>
      <c r="C199">
        <v>0</v>
      </c>
      <c r="D199">
        <v>0</v>
      </c>
      <c r="E199">
        <v>0</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0</v>
      </c>
      <c r="CA199">
        <v>0</v>
      </c>
      <c r="CB199">
        <v>0</v>
      </c>
    </row>
    <row r="200" spans="1:80" x14ac:dyDescent="0.2">
      <c r="A200">
        <v>0</v>
      </c>
      <c r="B200">
        <v>0</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row>
    <row r="201" spans="1:80" x14ac:dyDescent="0.2">
      <c r="A201">
        <v>0</v>
      </c>
      <c r="B201">
        <v>0</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0</v>
      </c>
      <c r="CA201">
        <v>0</v>
      </c>
      <c r="CB201">
        <v>0</v>
      </c>
    </row>
    <row r="202" spans="1:80" x14ac:dyDescent="0.2">
      <c r="A202">
        <v>0</v>
      </c>
      <c r="B202">
        <v>0</v>
      </c>
      <c r="C202">
        <v>0</v>
      </c>
      <c r="D202">
        <v>0</v>
      </c>
      <c r="E202">
        <v>0</v>
      </c>
      <c r="F202">
        <v>0</v>
      </c>
      <c r="G202">
        <v>0</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0</v>
      </c>
      <c r="BU202">
        <v>0</v>
      </c>
      <c r="BV202">
        <v>0</v>
      </c>
      <c r="BW202">
        <v>0</v>
      </c>
      <c r="BX202">
        <v>0</v>
      </c>
      <c r="BY202">
        <v>0</v>
      </c>
      <c r="BZ202">
        <v>0</v>
      </c>
      <c r="CA202">
        <v>0</v>
      </c>
      <c r="CB202">
        <v>0</v>
      </c>
    </row>
    <row r="203" spans="1:80" x14ac:dyDescent="0.2">
      <c r="A203">
        <v>0</v>
      </c>
      <c r="B203">
        <v>0</v>
      </c>
      <c r="C203">
        <v>0</v>
      </c>
      <c r="D203">
        <v>0</v>
      </c>
      <c r="E203">
        <v>0</v>
      </c>
      <c r="F203">
        <v>0</v>
      </c>
      <c r="G203">
        <v>0</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row>
    <row r="204" spans="1:80" x14ac:dyDescent="0.2">
      <c r="A204">
        <v>0</v>
      </c>
      <c r="B204">
        <v>0</v>
      </c>
      <c r="C204">
        <v>0</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0</v>
      </c>
      <c r="BU204">
        <v>0</v>
      </c>
      <c r="BV204">
        <v>0</v>
      </c>
      <c r="BW204">
        <v>0</v>
      </c>
      <c r="BX204">
        <v>0</v>
      </c>
      <c r="BY204">
        <v>0</v>
      </c>
      <c r="BZ204">
        <v>0</v>
      </c>
      <c r="CA204">
        <v>0</v>
      </c>
      <c r="CB204">
        <v>0</v>
      </c>
    </row>
    <row r="205" spans="1:80" x14ac:dyDescent="0.2">
      <c r="A205">
        <v>0</v>
      </c>
      <c r="B205">
        <v>0</v>
      </c>
      <c r="C205">
        <v>0</v>
      </c>
      <c r="D205">
        <v>0</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c r="BA205">
        <v>0</v>
      </c>
      <c r="BB205">
        <v>0</v>
      </c>
      <c r="BC205">
        <v>0</v>
      </c>
      <c r="BD205">
        <v>0</v>
      </c>
      <c r="BE205">
        <v>0</v>
      </c>
      <c r="BF205">
        <v>0</v>
      </c>
      <c r="BG205">
        <v>0</v>
      </c>
      <c r="BH205">
        <v>0</v>
      </c>
      <c r="BI205">
        <v>0</v>
      </c>
      <c r="BJ205">
        <v>0</v>
      </c>
      <c r="BK205">
        <v>0</v>
      </c>
      <c r="BL205">
        <v>0</v>
      </c>
      <c r="BM205">
        <v>0</v>
      </c>
      <c r="BN205">
        <v>0</v>
      </c>
      <c r="BO205">
        <v>0</v>
      </c>
      <c r="BP205">
        <v>0</v>
      </c>
      <c r="BQ205">
        <v>0</v>
      </c>
      <c r="BR205">
        <v>0</v>
      </c>
      <c r="BS205">
        <v>0</v>
      </c>
      <c r="BT205">
        <v>0</v>
      </c>
      <c r="BU205">
        <v>0</v>
      </c>
      <c r="BV205">
        <v>0</v>
      </c>
      <c r="BW205">
        <v>0</v>
      </c>
      <c r="BX205">
        <v>0</v>
      </c>
      <c r="BY205">
        <v>0</v>
      </c>
      <c r="BZ205">
        <v>0</v>
      </c>
      <c r="CA205">
        <v>0</v>
      </c>
      <c r="CB205">
        <v>0</v>
      </c>
    </row>
    <row r="206" spans="1:80" x14ac:dyDescent="0.2">
      <c r="A206">
        <v>0</v>
      </c>
      <c r="B206">
        <v>0</v>
      </c>
      <c r="C206">
        <v>0</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0</v>
      </c>
      <c r="BF206">
        <v>0</v>
      </c>
      <c r="BG206">
        <v>0</v>
      </c>
      <c r="BH206">
        <v>0</v>
      </c>
      <c r="BI206">
        <v>0</v>
      </c>
      <c r="BJ206">
        <v>0</v>
      </c>
      <c r="BK206">
        <v>0</v>
      </c>
      <c r="BL206">
        <v>0</v>
      </c>
      <c r="BM206">
        <v>0</v>
      </c>
      <c r="BN206">
        <v>0</v>
      </c>
      <c r="BO206">
        <v>0</v>
      </c>
      <c r="BP206">
        <v>0</v>
      </c>
      <c r="BQ206">
        <v>0</v>
      </c>
      <c r="BR206">
        <v>0</v>
      </c>
      <c r="BS206">
        <v>0</v>
      </c>
      <c r="BT206">
        <v>0</v>
      </c>
      <c r="BU206">
        <v>0</v>
      </c>
      <c r="BV206">
        <v>0</v>
      </c>
      <c r="BW206">
        <v>0</v>
      </c>
      <c r="BX206">
        <v>0</v>
      </c>
      <c r="BY206">
        <v>0</v>
      </c>
      <c r="BZ206">
        <v>0</v>
      </c>
      <c r="CA206">
        <v>0</v>
      </c>
      <c r="CB206">
        <v>0</v>
      </c>
    </row>
    <row r="207" spans="1:80" x14ac:dyDescent="0.2">
      <c r="A207">
        <v>0</v>
      </c>
      <c r="B207">
        <v>0</v>
      </c>
      <c r="C207">
        <v>0</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F207">
        <v>0</v>
      </c>
      <c r="BG207">
        <v>0</v>
      </c>
      <c r="BH207">
        <v>0</v>
      </c>
      <c r="BI207">
        <v>0</v>
      </c>
      <c r="BJ207">
        <v>0</v>
      </c>
      <c r="BK207">
        <v>0</v>
      </c>
      <c r="BL207">
        <v>0</v>
      </c>
      <c r="BM207">
        <v>0</v>
      </c>
      <c r="BN207">
        <v>0</v>
      </c>
      <c r="BO207">
        <v>0</v>
      </c>
      <c r="BP207">
        <v>0</v>
      </c>
      <c r="BQ207">
        <v>0</v>
      </c>
      <c r="BR207">
        <v>0</v>
      </c>
      <c r="BS207">
        <v>0</v>
      </c>
      <c r="BT207">
        <v>0</v>
      </c>
      <c r="BU207">
        <v>0</v>
      </c>
      <c r="BV207">
        <v>0</v>
      </c>
      <c r="BW207">
        <v>0</v>
      </c>
      <c r="BX207">
        <v>0</v>
      </c>
      <c r="BY207">
        <v>0</v>
      </c>
      <c r="BZ207">
        <v>0</v>
      </c>
      <c r="CA207">
        <v>0</v>
      </c>
      <c r="CB207">
        <v>0</v>
      </c>
    </row>
    <row r="208" spans="1:80" x14ac:dyDescent="0.2">
      <c r="A208">
        <v>0</v>
      </c>
      <c r="B208">
        <v>0</v>
      </c>
      <c r="C208">
        <v>0</v>
      </c>
      <c r="D208">
        <v>0</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0</v>
      </c>
      <c r="CA208">
        <v>0</v>
      </c>
      <c r="CB208">
        <v>0</v>
      </c>
    </row>
    <row r="209" spans="1:80" x14ac:dyDescent="0.2">
      <c r="A209">
        <v>0</v>
      </c>
      <c r="B209">
        <v>0</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F209">
        <v>0</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row>
    <row r="210" spans="1:80" x14ac:dyDescent="0.2">
      <c r="A210">
        <v>0</v>
      </c>
      <c r="B210">
        <v>0</v>
      </c>
      <c r="C210">
        <v>0</v>
      </c>
      <c r="D210">
        <v>0</v>
      </c>
      <c r="E210">
        <v>0</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0</v>
      </c>
      <c r="CA210">
        <v>0</v>
      </c>
      <c r="CB210">
        <v>0</v>
      </c>
    </row>
    <row r="211" spans="1:80" x14ac:dyDescent="0.2">
      <c r="A211">
        <v>0</v>
      </c>
      <c r="B211">
        <v>0</v>
      </c>
      <c r="C211">
        <v>0</v>
      </c>
      <c r="D211">
        <v>0</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row>
    <row r="212" spans="1:80" x14ac:dyDescent="0.2">
      <c r="A212">
        <v>0</v>
      </c>
      <c r="B212">
        <v>0</v>
      </c>
      <c r="C212">
        <v>0</v>
      </c>
      <c r="D212">
        <v>0</v>
      </c>
      <c r="E212">
        <v>0</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row>
    <row r="213" spans="1:80" x14ac:dyDescent="0.2">
      <c r="A213">
        <v>0</v>
      </c>
      <c r="B213">
        <v>0</v>
      </c>
      <c r="C213">
        <v>0</v>
      </c>
      <c r="D213">
        <v>0</v>
      </c>
      <c r="E213">
        <v>0</v>
      </c>
      <c r="F213">
        <v>0</v>
      </c>
      <c r="G213">
        <v>0</v>
      </c>
      <c r="H213">
        <v>0</v>
      </c>
      <c r="I213">
        <v>0</v>
      </c>
      <c r="J213">
        <v>0</v>
      </c>
      <c r="K213">
        <v>0</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row>
    <row r="214" spans="1:80" x14ac:dyDescent="0.2">
      <c r="A214">
        <v>0</v>
      </c>
      <c r="B214">
        <v>0</v>
      </c>
      <c r="C214">
        <v>0</v>
      </c>
      <c r="D214">
        <v>0</v>
      </c>
      <c r="E214">
        <v>0</v>
      </c>
      <c r="F214">
        <v>0</v>
      </c>
      <c r="G214">
        <v>0</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c r="BF214">
        <v>0</v>
      </c>
      <c r="BG214">
        <v>0</v>
      </c>
      <c r="BH214">
        <v>0</v>
      </c>
      <c r="BI214">
        <v>0</v>
      </c>
      <c r="BJ214">
        <v>0</v>
      </c>
      <c r="BK214">
        <v>0</v>
      </c>
      <c r="BL214">
        <v>0</v>
      </c>
      <c r="BM214">
        <v>0</v>
      </c>
      <c r="BN214">
        <v>0</v>
      </c>
      <c r="BO214">
        <v>0</v>
      </c>
      <c r="BP214">
        <v>0</v>
      </c>
      <c r="BQ214">
        <v>0</v>
      </c>
      <c r="BR214">
        <v>0</v>
      </c>
      <c r="BS214">
        <v>0</v>
      </c>
      <c r="BT214">
        <v>0</v>
      </c>
      <c r="BU214">
        <v>0</v>
      </c>
      <c r="BV214">
        <v>0</v>
      </c>
      <c r="BW214">
        <v>0</v>
      </c>
      <c r="BX214">
        <v>0</v>
      </c>
      <c r="BY214">
        <v>0</v>
      </c>
      <c r="BZ214">
        <v>0</v>
      </c>
      <c r="CA214">
        <v>0</v>
      </c>
      <c r="CB214">
        <v>0</v>
      </c>
    </row>
    <row r="215" spans="1:80" x14ac:dyDescent="0.2">
      <c r="A215">
        <v>0</v>
      </c>
      <c r="B215">
        <v>0</v>
      </c>
      <c r="C215">
        <v>0</v>
      </c>
      <c r="D215">
        <v>0</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row>
    <row r="216" spans="1:80" x14ac:dyDescent="0.2">
      <c r="A216">
        <v>0</v>
      </c>
      <c r="B216">
        <v>0</v>
      </c>
      <c r="C216">
        <v>0</v>
      </c>
      <c r="D216">
        <v>0</v>
      </c>
      <c r="E216">
        <v>0</v>
      </c>
      <c r="F216">
        <v>0</v>
      </c>
      <c r="G216">
        <v>0</v>
      </c>
      <c r="H216">
        <v>0</v>
      </c>
      <c r="I216">
        <v>0</v>
      </c>
      <c r="J216">
        <v>0</v>
      </c>
      <c r="K216">
        <v>0</v>
      </c>
      <c r="L216">
        <v>0</v>
      </c>
      <c r="M216">
        <v>0</v>
      </c>
      <c r="N216">
        <v>0</v>
      </c>
      <c r="O216">
        <v>0</v>
      </c>
      <c r="P216">
        <v>0</v>
      </c>
      <c r="Q216">
        <v>0</v>
      </c>
      <c r="R216">
        <v>0</v>
      </c>
      <c r="S216">
        <v>0</v>
      </c>
      <c r="T216">
        <v>0</v>
      </c>
      <c r="U216">
        <v>0</v>
      </c>
      <c r="V216">
        <v>0</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0</v>
      </c>
      <c r="BC216">
        <v>0</v>
      </c>
      <c r="BD216">
        <v>0</v>
      </c>
      <c r="BE216">
        <v>0</v>
      </c>
      <c r="BF216">
        <v>0</v>
      </c>
      <c r="BG216">
        <v>0</v>
      </c>
      <c r="BH216">
        <v>0</v>
      </c>
      <c r="BI216">
        <v>0</v>
      </c>
      <c r="BJ216">
        <v>0</v>
      </c>
      <c r="BK216">
        <v>0</v>
      </c>
      <c r="BL216">
        <v>0</v>
      </c>
      <c r="BM216">
        <v>0</v>
      </c>
      <c r="BN216">
        <v>0</v>
      </c>
      <c r="BO216">
        <v>0</v>
      </c>
      <c r="BP216">
        <v>0</v>
      </c>
      <c r="BQ216">
        <v>0</v>
      </c>
      <c r="BR216">
        <v>0</v>
      </c>
      <c r="BS216">
        <v>0</v>
      </c>
      <c r="BT216">
        <v>0</v>
      </c>
      <c r="BU216">
        <v>0</v>
      </c>
      <c r="BV216">
        <v>0</v>
      </c>
      <c r="BW216">
        <v>0</v>
      </c>
      <c r="BX216">
        <v>0</v>
      </c>
      <c r="BY216">
        <v>0</v>
      </c>
      <c r="BZ216">
        <v>0</v>
      </c>
      <c r="CA216">
        <v>0</v>
      </c>
      <c r="CB216">
        <v>0</v>
      </c>
    </row>
    <row r="217" spans="1:80" x14ac:dyDescent="0.2">
      <c r="A217">
        <v>0</v>
      </c>
      <c r="B217">
        <v>0</v>
      </c>
      <c r="C217">
        <v>0</v>
      </c>
      <c r="D217">
        <v>0</v>
      </c>
      <c r="E217">
        <v>0</v>
      </c>
      <c r="F217">
        <v>0</v>
      </c>
      <c r="G217">
        <v>0</v>
      </c>
      <c r="H217">
        <v>0</v>
      </c>
      <c r="I217">
        <v>0</v>
      </c>
      <c r="J217">
        <v>0</v>
      </c>
      <c r="K217">
        <v>0</v>
      </c>
      <c r="L217">
        <v>0</v>
      </c>
      <c r="M217">
        <v>0</v>
      </c>
      <c r="N217">
        <v>0</v>
      </c>
      <c r="O217">
        <v>0</v>
      </c>
      <c r="P217">
        <v>0</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0</v>
      </c>
      <c r="BC217">
        <v>0</v>
      </c>
      <c r="BD217">
        <v>0</v>
      </c>
      <c r="BE217">
        <v>0</v>
      </c>
      <c r="BF217">
        <v>0</v>
      </c>
      <c r="BG217">
        <v>0</v>
      </c>
      <c r="BH217">
        <v>0</v>
      </c>
      <c r="BI217">
        <v>0</v>
      </c>
      <c r="BJ217">
        <v>0</v>
      </c>
      <c r="BK217">
        <v>0</v>
      </c>
      <c r="BL217">
        <v>0</v>
      </c>
      <c r="BM217">
        <v>0</v>
      </c>
      <c r="BN217">
        <v>0</v>
      </c>
      <c r="BO217">
        <v>0</v>
      </c>
      <c r="BP217">
        <v>0</v>
      </c>
      <c r="BQ217">
        <v>0</v>
      </c>
      <c r="BR217">
        <v>0</v>
      </c>
      <c r="BS217">
        <v>0</v>
      </c>
      <c r="BT217">
        <v>0</v>
      </c>
      <c r="BU217">
        <v>0</v>
      </c>
      <c r="BV217">
        <v>0</v>
      </c>
      <c r="BW217">
        <v>0</v>
      </c>
      <c r="BX217">
        <v>0</v>
      </c>
      <c r="BY217">
        <v>0</v>
      </c>
      <c r="BZ217">
        <v>0</v>
      </c>
      <c r="CA217">
        <v>0</v>
      </c>
      <c r="CB217">
        <v>0</v>
      </c>
    </row>
    <row r="218" spans="1:80" x14ac:dyDescent="0.2">
      <c r="A218">
        <v>0</v>
      </c>
      <c r="B218">
        <v>0</v>
      </c>
      <c r="C218">
        <v>0</v>
      </c>
      <c r="D218">
        <v>0</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row>
    <row r="219" spans="1:80" x14ac:dyDescent="0.2">
      <c r="A219">
        <v>0</v>
      </c>
      <c r="B219">
        <v>0</v>
      </c>
      <c r="C219">
        <v>0</v>
      </c>
      <c r="D219">
        <v>0</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c r="BF219">
        <v>0</v>
      </c>
      <c r="BG219">
        <v>0</v>
      </c>
      <c r="BH219">
        <v>0</v>
      </c>
      <c r="BI219">
        <v>0</v>
      </c>
      <c r="BJ219">
        <v>0</v>
      </c>
      <c r="BK219">
        <v>0</v>
      </c>
      <c r="BL219">
        <v>0</v>
      </c>
      <c r="BM219">
        <v>0</v>
      </c>
      <c r="BN219">
        <v>0</v>
      </c>
      <c r="BO219">
        <v>0</v>
      </c>
      <c r="BP219">
        <v>0</v>
      </c>
      <c r="BQ219">
        <v>0</v>
      </c>
      <c r="BR219">
        <v>0</v>
      </c>
      <c r="BS219">
        <v>0</v>
      </c>
      <c r="BT219">
        <v>0</v>
      </c>
      <c r="BU219">
        <v>0</v>
      </c>
      <c r="BV219">
        <v>0</v>
      </c>
      <c r="BW219">
        <v>0</v>
      </c>
      <c r="BX219">
        <v>0</v>
      </c>
      <c r="BY219">
        <v>0</v>
      </c>
      <c r="BZ219">
        <v>0</v>
      </c>
      <c r="CA219">
        <v>0</v>
      </c>
      <c r="CB219">
        <v>0</v>
      </c>
    </row>
    <row r="220" spans="1:80" x14ac:dyDescent="0.2">
      <c r="A220">
        <v>0</v>
      </c>
      <c r="B220">
        <v>0</v>
      </c>
      <c r="C220">
        <v>0</v>
      </c>
      <c r="D220">
        <v>0</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0</v>
      </c>
      <c r="BO220">
        <v>0</v>
      </c>
      <c r="BP220">
        <v>0</v>
      </c>
      <c r="BQ220">
        <v>0</v>
      </c>
      <c r="BR220">
        <v>0</v>
      </c>
      <c r="BS220">
        <v>0</v>
      </c>
      <c r="BT220">
        <v>0</v>
      </c>
      <c r="BU220">
        <v>0</v>
      </c>
      <c r="BV220">
        <v>0</v>
      </c>
      <c r="BW220">
        <v>0</v>
      </c>
      <c r="BX220">
        <v>0</v>
      </c>
      <c r="BY220">
        <v>0</v>
      </c>
      <c r="BZ220">
        <v>0</v>
      </c>
      <c r="CA220">
        <v>0</v>
      </c>
      <c r="CB220">
        <v>0</v>
      </c>
    </row>
    <row r="221" spans="1:80" x14ac:dyDescent="0.2">
      <c r="A221">
        <v>0</v>
      </c>
      <c r="B221">
        <v>0</v>
      </c>
      <c r="C221">
        <v>0</v>
      </c>
      <c r="D221">
        <v>0</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row>
    <row r="222" spans="1:80" x14ac:dyDescent="0.2">
      <c r="A222">
        <v>0</v>
      </c>
      <c r="B222">
        <v>0</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0</v>
      </c>
      <c r="BO222">
        <v>0</v>
      </c>
      <c r="BP222">
        <v>0</v>
      </c>
      <c r="BQ222">
        <v>0</v>
      </c>
      <c r="BR222">
        <v>0</v>
      </c>
      <c r="BS222">
        <v>0</v>
      </c>
      <c r="BT222">
        <v>0</v>
      </c>
      <c r="BU222">
        <v>0</v>
      </c>
      <c r="BV222">
        <v>0</v>
      </c>
      <c r="BW222">
        <v>0</v>
      </c>
      <c r="BX222">
        <v>0</v>
      </c>
      <c r="BY222">
        <v>0</v>
      </c>
      <c r="BZ222">
        <v>0</v>
      </c>
      <c r="CA222">
        <v>0</v>
      </c>
      <c r="CB222">
        <v>0</v>
      </c>
    </row>
    <row r="223" spans="1:80" x14ac:dyDescent="0.2">
      <c r="A223">
        <v>0</v>
      </c>
      <c r="B223">
        <v>0</v>
      </c>
      <c r="C223">
        <v>0</v>
      </c>
      <c r="D223">
        <v>0</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row>
    <row r="224" spans="1:80" x14ac:dyDescent="0.2">
      <c r="A224">
        <v>0</v>
      </c>
      <c r="B224">
        <v>0</v>
      </c>
      <c r="C224">
        <v>0</v>
      </c>
      <c r="D224">
        <v>0</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row>
    <row r="225" spans="1:80" x14ac:dyDescent="0.2">
      <c r="A225">
        <v>0</v>
      </c>
      <c r="B225">
        <v>0</v>
      </c>
      <c r="C225">
        <v>0</v>
      </c>
      <c r="D225">
        <v>0</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row>
    <row r="226" spans="1:80" x14ac:dyDescent="0.2">
      <c r="A226">
        <v>0</v>
      </c>
      <c r="B226">
        <v>0</v>
      </c>
      <c r="C226">
        <v>0</v>
      </c>
      <c r="D226">
        <v>0</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0</v>
      </c>
      <c r="BI226">
        <v>0</v>
      </c>
      <c r="BJ226">
        <v>0</v>
      </c>
      <c r="BK226">
        <v>0</v>
      </c>
      <c r="BL226">
        <v>0</v>
      </c>
      <c r="BM226">
        <v>0</v>
      </c>
      <c r="BN226">
        <v>0</v>
      </c>
      <c r="BO226">
        <v>0</v>
      </c>
      <c r="BP226">
        <v>0</v>
      </c>
      <c r="BQ226">
        <v>0</v>
      </c>
      <c r="BR226">
        <v>0</v>
      </c>
      <c r="BS226">
        <v>0</v>
      </c>
      <c r="BT226">
        <v>0</v>
      </c>
      <c r="BU226">
        <v>0</v>
      </c>
      <c r="BV226">
        <v>0</v>
      </c>
      <c r="BW226">
        <v>0</v>
      </c>
      <c r="BX226">
        <v>0</v>
      </c>
      <c r="BY226">
        <v>0</v>
      </c>
      <c r="BZ226">
        <v>0</v>
      </c>
      <c r="CA226">
        <v>0</v>
      </c>
      <c r="CB226">
        <v>0</v>
      </c>
    </row>
    <row r="227" spans="1:80" x14ac:dyDescent="0.2">
      <c r="A227">
        <v>0</v>
      </c>
      <c r="B227">
        <v>0</v>
      </c>
      <c r="C227">
        <v>0</v>
      </c>
      <c r="D227">
        <v>0</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row>
    <row r="228" spans="1:80" x14ac:dyDescent="0.2">
      <c r="A228">
        <v>0</v>
      </c>
      <c r="B228">
        <v>0</v>
      </c>
      <c r="C228">
        <v>0</v>
      </c>
      <c r="D228">
        <v>0</v>
      </c>
      <c r="E228">
        <v>0</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0</v>
      </c>
      <c r="BI228">
        <v>0</v>
      </c>
      <c r="BJ228">
        <v>0</v>
      </c>
      <c r="BK228">
        <v>0</v>
      </c>
      <c r="BL228">
        <v>0</v>
      </c>
      <c r="BM228">
        <v>0</v>
      </c>
      <c r="BN228">
        <v>0</v>
      </c>
      <c r="BO228">
        <v>0</v>
      </c>
      <c r="BP228">
        <v>0</v>
      </c>
      <c r="BQ228">
        <v>0</v>
      </c>
      <c r="BR228">
        <v>0</v>
      </c>
      <c r="BS228">
        <v>0</v>
      </c>
      <c r="BT228">
        <v>0</v>
      </c>
      <c r="BU228">
        <v>0</v>
      </c>
      <c r="BV228">
        <v>0</v>
      </c>
      <c r="BW228">
        <v>0</v>
      </c>
      <c r="BX228">
        <v>0</v>
      </c>
      <c r="BY228">
        <v>0</v>
      </c>
      <c r="BZ228">
        <v>0</v>
      </c>
      <c r="CA228">
        <v>0</v>
      </c>
      <c r="CB228">
        <v>0</v>
      </c>
    </row>
    <row r="229" spans="1:80" x14ac:dyDescent="0.2">
      <c r="A229">
        <v>0</v>
      </c>
      <c r="B229">
        <v>0</v>
      </c>
      <c r="C229">
        <v>0</v>
      </c>
      <c r="D229">
        <v>0</v>
      </c>
      <c r="E229">
        <v>0</v>
      </c>
      <c r="F229">
        <v>0</v>
      </c>
      <c r="G229">
        <v>0</v>
      </c>
      <c r="H229">
        <v>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0</v>
      </c>
      <c r="BU229">
        <v>0</v>
      </c>
      <c r="BV229">
        <v>0</v>
      </c>
      <c r="BW229">
        <v>0</v>
      </c>
      <c r="BX229">
        <v>0</v>
      </c>
      <c r="BY229">
        <v>0</v>
      </c>
      <c r="BZ229">
        <v>0</v>
      </c>
      <c r="CA229">
        <v>0</v>
      </c>
      <c r="CB229">
        <v>0</v>
      </c>
    </row>
    <row r="230" spans="1:80" x14ac:dyDescent="0.2">
      <c r="A230">
        <v>0</v>
      </c>
      <c r="B230">
        <v>0</v>
      </c>
      <c r="C230">
        <v>0</v>
      </c>
      <c r="D230">
        <v>0</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row>
    <row r="231" spans="1:80" x14ac:dyDescent="0.2">
      <c r="A231">
        <v>0</v>
      </c>
      <c r="B231">
        <v>0</v>
      </c>
      <c r="C231">
        <v>0</v>
      </c>
      <c r="D231">
        <v>0</v>
      </c>
      <c r="E231">
        <v>0</v>
      </c>
      <c r="F231">
        <v>0</v>
      </c>
      <c r="G231">
        <v>0</v>
      </c>
      <c r="H231">
        <v>0</v>
      </c>
      <c r="I231">
        <v>0</v>
      </c>
      <c r="J231">
        <v>0</v>
      </c>
      <c r="K231">
        <v>0</v>
      </c>
      <c r="L231">
        <v>0</v>
      </c>
      <c r="M231">
        <v>0</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0</v>
      </c>
      <c r="BU231">
        <v>0</v>
      </c>
      <c r="BV231">
        <v>0</v>
      </c>
      <c r="BW231">
        <v>0</v>
      </c>
      <c r="BX231">
        <v>0</v>
      </c>
      <c r="BY231">
        <v>0</v>
      </c>
      <c r="BZ231">
        <v>0</v>
      </c>
      <c r="CA231">
        <v>0</v>
      </c>
      <c r="CB231">
        <v>0</v>
      </c>
    </row>
    <row r="232" spans="1:80" x14ac:dyDescent="0.2">
      <c r="A232">
        <v>0</v>
      </c>
      <c r="B232">
        <v>0</v>
      </c>
      <c r="C232">
        <v>0</v>
      </c>
      <c r="D232">
        <v>0</v>
      </c>
      <c r="E232">
        <v>0</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0</v>
      </c>
      <c r="CA232">
        <v>0</v>
      </c>
      <c r="CB232">
        <v>0</v>
      </c>
    </row>
    <row r="233" spans="1:80" x14ac:dyDescent="0.2">
      <c r="A233">
        <v>0</v>
      </c>
      <c r="B233">
        <v>0</v>
      </c>
      <c r="C233">
        <v>0</v>
      </c>
      <c r="D233">
        <v>0</v>
      </c>
      <c r="E233">
        <v>0</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0</v>
      </c>
      <c r="CA233">
        <v>0</v>
      </c>
      <c r="CB233">
        <v>0</v>
      </c>
    </row>
    <row r="234" spans="1:80" x14ac:dyDescent="0.2">
      <c r="A234">
        <v>0</v>
      </c>
      <c r="B234">
        <v>0</v>
      </c>
      <c r="C234">
        <v>0</v>
      </c>
      <c r="D234">
        <v>0</v>
      </c>
      <c r="E234">
        <v>0</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row>
    <row r="235" spans="1:80" x14ac:dyDescent="0.2">
      <c r="A235">
        <v>0</v>
      </c>
      <c r="B235">
        <v>0</v>
      </c>
      <c r="C235">
        <v>0</v>
      </c>
      <c r="D235">
        <v>0</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c r="BF235">
        <v>0</v>
      </c>
      <c r="BG235">
        <v>0</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row>
    <row r="236" spans="1:80" x14ac:dyDescent="0.2">
      <c r="A236">
        <v>0</v>
      </c>
      <c r="B236">
        <v>0</v>
      </c>
      <c r="C236">
        <v>0</v>
      </c>
      <c r="D236">
        <v>0</v>
      </c>
      <c r="E236">
        <v>0</v>
      </c>
      <c r="F236">
        <v>0</v>
      </c>
      <c r="G236">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row>
    <row r="237" spans="1:80" x14ac:dyDescent="0.2">
      <c r="A237">
        <v>0</v>
      </c>
      <c r="B237">
        <v>0</v>
      </c>
      <c r="C237">
        <v>0</v>
      </c>
      <c r="D237">
        <v>0</v>
      </c>
      <c r="E237">
        <v>0</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c r="BF237">
        <v>0</v>
      </c>
      <c r="BG237">
        <v>0</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row>
    <row r="238" spans="1:80" x14ac:dyDescent="0.2">
      <c r="A238">
        <v>0</v>
      </c>
      <c r="B238">
        <v>0</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row>
    <row r="239" spans="1:80" x14ac:dyDescent="0.2">
      <c r="A239">
        <v>0</v>
      </c>
      <c r="B239">
        <v>0</v>
      </c>
      <c r="C239">
        <v>0</v>
      </c>
      <c r="D239">
        <v>0</v>
      </c>
      <c r="E239">
        <v>0</v>
      </c>
      <c r="F239">
        <v>0</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row>
    <row r="240" spans="1:80" x14ac:dyDescent="0.2">
      <c r="A240">
        <v>0</v>
      </c>
      <c r="B240">
        <v>0</v>
      </c>
      <c r="C240">
        <v>0</v>
      </c>
      <c r="D240">
        <v>0</v>
      </c>
      <c r="E240">
        <v>0</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row>
    <row r="241" spans="1:80" x14ac:dyDescent="0.2">
      <c r="A241">
        <v>0</v>
      </c>
      <c r="B241">
        <v>0</v>
      </c>
      <c r="C241">
        <v>0</v>
      </c>
      <c r="D241">
        <v>0</v>
      </c>
      <c r="E241">
        <v>0</v>
      </c>
      <c r="F241">
        <v>0</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v>0</v>
      </c>
      <c r="AW241">
        <v>0</v>
      </c>
      <c r="AX241">
        <v>0</v>
      </c>
      <c r="AY241">
        <v>0</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0</v>
      </c>
      <c r="BU241">
        <v>0</v>
      </c>
      <c r="BV241">
        <v>0</v>
      </c>
      <c r="BW241">
        <v>0</v>
      </c>
      <c r="BX241">
        <v>0</v>
      </c>
      <c r="BY241">
        <v>0</v>
      </c>
      <c r="BZ241">
        <v>0</v>
      </c>
      <c r="CA241">
        <v>0</v>
      </c>
      <c r="CB241">
        <v>0</v>
      </c>
    </row>
    <row r="242" spans="1:80" x14ac:dyDescent="0.2">
      <c r="A242">
        <v>0</v>
      </c>
      <c r="B242">
        <v>0</v>
      </c>
      <c r="C242">
        <v>0</v>
      </c>
      <c r="D242">
        <v>0</v>
      </c>
      <c r="E242">
        <v>0</v>
      </c>
      <c r="F242">
        <v>0</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0</v>
      </c>
      <c r="BU242">
        <v>0</v>
      </c>
      <c r="BV242">
        <v>0</v>
      </c>
      <c r="BW242">
        <v>0</v>
      </c>
      <c r="BX242">
        <v>0</v>
      </c>
      <c r="BY242">
        <v>0</v>
      </c>
      <c r="BZ242">
        <v>0</v>
      </c>
      <c r="CA242">
        <v>0</v>
      </c>
      <c r="CB242">
        <v>0</v>
      </c>
    </row>
    <row r="243" spans="1:80" x14ac:dyDescent="0.2">
      <c r="A243">
        <v>0</v>
      </c>
      <c r="B243">
        <v>0</v>
      </c>
      <c r="C243">
        <v>0</v>
      </c>
      <c r="D243">
        <v>0</v>
      </c>
      <c r="E243">
        <v>0</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0</v>
      </c>
      <c r="CA243">
        <v>0</v>
      </c>
      <c r="CB243">
        <v>0</v>
      </c>
    </row>
    <row r="244" spans="1:80" x14ac:dyDescent="0.2">
      <c r="A244">
        <v>0</v>
      </c>
      <c r="B244">
        <v>0</v>
      </c>
      <c r="C244">
        <v>0</v>
      </c>
      <c r="D244">
        <v>0</v>
      </c>
      <c r="E244">
        <v>0</v>
      </c>
      <c r="F244">
        <v>0</v>
      </c>
      <c r="G244">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row>
    <row r="245" spans="1:80" x14ac:dyDescent="0.2">
      <c r="A245">
        <v>0</v>
      </c>
      <c r="B245">
        <v>0</v>
      </c>
      <c r="C245">
        <v>0</v>
      </c>
      <c r="D245">
        <v>0</v>
      </c>
      <c r="E245">
        <v>0</v>
      </c>
      <c r="F245">
        <v>0</v>
      </c>
      <c r="G245">
        <v>0</v>
      </c>
      <c r="H245">
        <v>0</v>
      </c>
      <c r="I245">
        <v>0</v>
      </c>
      <c r="J245">
        <v>0</v>
      </c>
      <c r="K245">
        <v>0</v>
      </c>
      <c r="L245">
        <v>0</v>
      </c>
      <c r="M245">
        <v>0</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row>
    <row r="246" spans="1:80" x14ac:dyDescent="0.2">
      <c r="A246">
        <v>0</v>
      </c>
      <c r="B246">
        <v>0</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row>
    <row r="247" spans="1:80" x14ac:dyDescent="0.2">
      <c r="A247">
        <v>0</v>
      </c>
      <c r="B247">
        <v>0</v>
      </c>
      <c r="C247">
        <v>0</v>
      </c>
      <c r="D247">
        <v>0</v>
      </c>
      <c r="E247">
        <v>0</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0</v>
      </c>
      <c r="BO247">
        <v>0</v>
      </c>
      <c r="BP247">
        <v>0</v>
      </c>
      <c r="BQ247">
        <v>0</v>
      </c>
      <c r="BR247">
        <v>0</v>
      </c>
      <c r="BS247">
        <v>0</v>
      </c>
      <c r="BT247">
        <v>0</v>
      </c>
      <c r="BU247">
        <v>0</v>
      </c>
      <c r="BV247">
        <v>0</v>
      </c>
      <c r="BW247">
        <v>0</v>
      </c>
      <c r="BX247">
        <v>0</v>
      </c>
      <c r="BY247">
        <v>0</v>
      </c>
      <c r="BZ247">
        <v>0</v>
      </c>
      <c r="CA247">
        <v>0</v>
      </c>
      <c r="CB247">
        <v>0</v>
      </c>
    </row>
    <row r="248" spans="1:80" x14ac:dyDescent="0.2">
      <c r="A248">
        <v>0</v>
      </c>
      <c r="B248">
        <v>0</v>
      </c>
      <c r="C248">
        <v>0</v>
      </c>
      <c r="D248">
        <v>0</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c r="BS248">
        <v>0</v>
      </c>
      <c r="BT248">
        <v>0</v>
      </c>
      <c r="BU248">
        <v>0</v>
      </c>
      <c r="BV248">
        <v>0</v>
      </c>
      <c r="BW248">
        <v>0</v>
      </c>
      <c r="BX248">
        <v>0</v>
      </c>
      <c r="BY248">
        <v>0</v>
      </c>
      <c r="BZ248">
        <v>0</v>
      </c>
      <c r="CA248">
        <v>0</v>
      </c>
      <c r="CB248">
        <v>0</v>
      </c>
    </row>
    <row r="249" spans="1:80" x14ac:dyDescent="0.2">
      <c r="A249">
        <v>0</v>
      </c>
      <c r="B249">
        <v>0</v>
      </c>
      <c r="C249">
        <v>0</v>
      </c>
      <c r="D249">
        <v>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row>
    <row r="250" spans="1:80" x14ac:dyDescent="0.2">
      <c r="A250">
        <v>0</v>
      </c>
      <c r="B250">
        <v>0</v>
      </c>
      <c r="C250">
        <v>0</v>
      </c>
      <c r="D250">
        <v>0</v>
      </c>
      <c r="E250">
        <v>0</v>
      </c>
      <c r="F250">
        <v>0</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0</v>
      </c>
      <c r="BI250">
        <v>0</v>
      </c>
      <c r="BJ250">
        <v>0</v>
      </c>
      <c r="BK250">
        <v>0</v>
      </c>
      <c r="BL250">
        <v>0</v>
      </c>
      <c r="BM250">
        <v>0</v>
      </c>
      <c r="BN250">
        <v>0</v>
      </c>
      <c r="BO250">
        <v>0</v>
      </c>
      <c r="BP250">
        <v>0</v>
      </c>
      <c r="BQ250">
        <v>0</v>
      </c>
      <c r="BR250">
        <v>0</v>
      </c>
      <c r="BS250">
        <v>0</v>
      </c>
      <c r="BT250">
        <v>0</v>
      </c>
      <c r="BU250">
        <v>0</v>
      </c>
      <c r="BV250">
        <v>0</v>
      </c>
      <c r="BW250">
        <v>0</v>
      </c>
      <c r="BX250">
        <v>0</v>
      </c>
      <c r="BY250">
        <v>0</v>
      </c>
      <c r="BZ250">
        <v>0</v>
      </c>
      <c r="CA250">
        <v>0</v>
      </c>
      <c r="CB250">
        <v>0</v>
      </c>
    </row>
    <row r="251" spans="1:80" x14ac:dyDescent="0.2">
      <c r="A251">
        <v>0</v>
      </c>
      <c r="B251">
        <v>0</v>
      </c>
      <c r="C251">
        <v>0</v>
      </c>
      <c r="D251">
        <v>0</v>
      </c>
      <c r="E251">
        <v>0</v>
      </c>
      <c r="F251">
        <v>0</v>
      </c>
      <c r="G251">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0</v>
      </c>
      <c r="BO251">
        <v>0</v>
      </c>
      <c r="BP251">
        <v>0</v>
      </c>
      <c r="BQ251">
        <v>0</v>
      </c>
      <c r="BR251">
        <v>0</v>
      </c>
      <c r="BS251">
        <v>0</v>
      </c>
      <c r="BT251">
        <v>0</v>
      </c>
      <c r="BU251">
        <v>0</v>
      </c>
      <c r="BV251">
        <v>0</v>
      </c>
      <c r="BW251">
        <v>0</v>
      </c>
      <c r="BX251">
        <v>0</v>
      </c>
      <c r="BY251">
        <v>0</v>
      </c>
      <c r="BZ251">
        <v>0</v>
      </c>
      <c r="CA251">
        <v>0</v>
      </c>
      <c r="CB251">
        <v>0</v>
      </c>
    </row>
    <row r="252" spans="1:80" x14ac:dyDescent="0.2">
      <c r="A252">
        <v>0</v>
      </c>
      <c r="B252">
        <v>0</v>
      </c>
      <c r="C252">
        <v>0</v>
      </c>
      <c r="D252">
        <v>0</v>
      </c>
      <c r="E252">
        <v>0</v>
      </c>
      <c r="F252">
        <v>0</v>
      </c>
      <c r="G252">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row>
    <row r="253" spans="1:80" x14ac:dyDescent="0.2">
      <c r="A253">
        <v>0</v>
      </c>
      <c r="B253">
        <v>0</v>
      </c>
      <c r="C253">
        <v>0</v>
      </c>
      <c r="D253">
        <v>0</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row>
    <row r="254" spans="1:80" x14ac:dyDescent="0.2">
      <c r="A254">
        <v>0</v>
      </c>
      <c r="B254">
        <v>0</v>
      </c>
      <c r="C254">
        <v>0</v>
      </c>
      <c r="D254">
        <v>0</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row>
    <row r="256" spans="1:80" x14ac:dyDescent="0.2">
      <c r="A256" s="40" t="s">
        <v>591</v>
      </c>
    </row>
    <row r="257" spans="1:80" x14ac:dyDescent="0.2">
      <c r="A257">
        <f t="array" ref="A257:CB336">MMULT('_motor'!$A$175:$CB$254,'_motor'!$A$11:$CB$90)</f>
      </c>
      <c r="B257">
        <v>0</v>
      </c>
      <c r="C257">
        <v>0</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row>
    <row r="258" spans="1:80" x14ac:dyDescent="0.2">
      <c r="A258">
        <v>0</v>
      </c>
      <c r="B258">
        <v>0</v>
      </c>
      <c r="C258">
        <v>0</v>
      </c>
      <c r="D258">
        <v>0</v>
      </c>
      <c r="E258">
        <v>0</v>
      </c>
      <c r="F258">
        <v>0</v>
      </c>
      <c r="G258">
        <v>0</v>
      </c>
      <c r="H258">
        <v>0</v>
      </c>
      <c r="I258">
        <v>0</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c r="BF258">
        <v>0</v>
      </c>
      <c r="BG258">
        <v>0</v>
      </c>
      <c r="BH258">
        <v>0</v>
      </c>
      <c r="BI258">
        <v>0</v>
      </c>
      <c r="BJ258">
        <v>0</v>
      </c>
      <c r="BK258">
        <v>0</v>
      </c>
      <c r="BL258">
        <v>0</v>
      </c>
      <c r="BM258">
        <v>0</v>
      </c>
      <c r="BN258">
        <v>0</v>
      </c>
      <c r="BO258">
        <v>0</v>
      </c>
      <c r="BP258">
        <v>0</v>
      </c>
      <c r="BQ258">
        <v>0</v>
      </c>
      <c r="BR258">
        <v>0</v>
      </c>
      <c r="BS258">
        <v>0</v>
      </c>
      <c r="BT258">
        <v>0</v>
      </c>
      <c r="BU258">
        <v>0</v>
      </c>
      <c r="BV258">
        <v>0</v>
      </c>
      <c r="BW258">
        <v>0</v>
      </c>
      <c r="BX258">
        <v>0</v>
      </c>
      <c r="BY258">
        <v>0</v>
      </c>
      <c r="BZ258">
        <v>0</v>
      </c>
      <c r="CA258">
        <v>0</v>
      </c>
      <c r="CB258">
        <v>0</v>
      </c>
    </row>
    <row r="259" spans="1:80" x14ac:dyDescent="0.2">
      <c r="A259">
        <v>0</v>
      </c>
      <c r="B259">
        <v>0</v>
      </c>
      <c r="C259">
        <v>0</v>
      </c>
      <c r="D259">
        <v>0</v>
      </c>
      <c r="E259">
        <v>0</v>
      </c>
      <c r="F259">
        <v>0</v>
      </c>
      <c r="G259">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0</v>
      </c>
      <c r="BO259">
        <v>0</v>
      </c>
      <c r="BP259">
        <v>0</v>
      </c>
      <c r="BQ259">
        <v>0</v>
      </c>
      <c r="BR259">
        <v>0</v>
      </c>
      <c r="BS259">
        <v>0</v>
      </c>
      <c r="BT259">
        <v>0</v>
      </c>
      <c r="BU259">
        <v>0</v>
      </c>
      <c r="BV259">
        <v>0</v>
      </c>
      <c r="BW259">
        <v>0</v>
      </c>
      <c r="BX259">
        <v>0</v>
      </c>
      <c r="BY259">
        <v>0</v>
      </c>
      <c r="BZ259">
        <v>0</v>
      </c>
      <c r="CA259">
        <v>0</v>
      </c>
      <c r="CB259">
        <v>0</v>
      </c>
    </row>
    <row r="260" spans="1:80" x14ac:dyDescent="0.2">
      <c r="A260">
        <v>0</v>
      </c>
      <c r="B260">
        <v>0</v>
      </c>
      <c r="C260">
        <v>0</v>
      </c>
      <c r="D260">
        <v>0</v>
      </c>
      <c r="E260">
        <v>0</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0</v>
      </c>
      <c r="BO260">
        <v>0</v>
      </c>
      <c r="BP260">
        <v>0</v>
      </c>
      <c r="BQ260">
        <v>0</v>
      </c>
      <c r="BR260">
        <v>0</v>
      </c>
      <c r="BS260">
        <v>0</v>
      </c>
      <c r="BT260">
        <v>0</v>
      </c>
      <c r="BU260">
        <v>0</v>
      </c>
      <c r="BV260">
        <v>0</v>
      </c>
      <c r="BW260">
        <v>0</v>
      </c>
      <c r="BX260">
        <v>0</v>
      </c>
      <c r="BY260">
        <v>0</v>
      </c>
      <c r="BZ260">
        <v>0</v>
      </c>
      <c r="CA260">
        <v>0</v>
      </c>
      <c r="CB260">
        <v>0</v>
      </c>
    </row>
    <row r="261" spans="1:80" x14ac:dyDescent="0.2">
      <c r="A261">
        <v>0</v>
      </c>
      <c r="B261">
        <v>0</v>
      </c>
      <c r="C261">
        <v>0</v>
      </c>
      <c r="D261">
        <v>0</v>
      </c>
      <c r="E261">
        <v>0</v>
      </c>
      <c r="F261">
        <v>0</v>
      </c>
      <c r="G261">
        <v>0</v>
      </c>
      <c r="H261">
        <v>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row>
    <row r="262" spans="1:80" x14ac:dyDescent="0.2">
      <c r="A262">
        <v>0</v>
      </c>
      <c r="B262">
        <v>0</v>
      </c>
      <c r="C262">
        <v>0</v>
      </c>
      <c r="D262">
        <v>0</v>
      </c>
      <c r="E262">
        <v>0</v>
      </c>
      <c r="F262">
        <v>0</v>
      </c>
      <c r="G262">
        <v>0</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row>
    <row r="263" spans="1:80" x14ac:dyDescent="0.2">
      <c r="A263">
        <v>0</v>
      </c>
      <c r="B263">
        <v>0</v>
      </c>
      <c r="C263">
        <v>0</v>
      </c>
      <c r="D263">
        <v>0</v>
      </c>
      <c r="E263">
        <v>0</v>
      </c>
      <c r="F263">
        <v>0</v>
      </c>
      <c r="G263">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row>
    <row r="264" spans="1:80" x14ac:dyDescent="0.2">
      <c r="A264">
        <v>0</v>
      </c>
      <c r="B264">
        <v>0</v>
      </c>
      <c r="C264">
        <v>0</v>
      </c>
      <c r="D264">
        <v>0</v>
      </c>
      <c r="E264">
        <v>0</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row>
    <row r="265" spans="1:80" x14ac:dyDescent="0.2">
      <c r="A265">
        <v>0</v>
      </c>
      <c r="B265">
        <v>0</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0</v>
      </c>
      <c r="BU265">
        <v>0</v>
      </c>
      <c r="BV265">
        <v>0</v>
      </c>
      <c r="BW265">
        <v>0</v>
      </c>
      <c r="BX265">
        <v>0</v>
      </c>
      <c r="BY265">
        <v>0</v>
      </c>
      <c r="BZ265">
        <v>0</v>
      </c>
      <c r="CA265">
        <v>0</v>
      </c>
      <c r="CB265">
        <v>0</v>
      </c>
    </row>
    <row r="266" spans="1:80" x14ac:dyDescent="0.2">
      <c r="A266">
        <v>0</v>
      </c>
      <c r="B266">
        <v>0</v>
      </c>
      <c r="C266">
        <v>0</v>
      </c>
      <c r="D266">
        <v>0</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row>
    <row r="267" spans="1:80" x14ac:dyDescent="0.2">
      <c r="A267">
        <v>0</v>
      </c>
      <c r="B267">
        <v>0</v>
      </c>
      <c r="C267">
        <v>0</v>
      </c>
      <c r="D267">
        <v>0</v>
      </c>
      <c r="E267">
        <v>0</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0</v>
      </c>
      <c r="BU267">
        <v>0</v>
      </c>
      <c r="BV267">
        <v>0</v>
      </c>
      <c r="BW267">
        <v>0</v>
      </c>
      <c r="BX267">
        <v>0</v>
      </c>
      <c r="BY267">
        <v>0</v>
      </c>
      <c r="BZ267">
        <v>0</v>
      </c>
      <c r="CA267">
        <v>0</v>
      </c>
      <c r="CB267">
        <v>0</v>
      </c>
    </row>
    <row r="268" spans="1:80" x14ac:dyDescent="0.2">
      <c r="A268">
        <v>0</v>
      </c>
      <c r="B268">
        <v>0</v>
      </c>
      <c r="C268">
        <v>0</v>
      </c>
      <c r="D268">
        <v>0</v>
      </c>
      <c r="E268">
        <v>0</v>
      </c>
      <c r="F268">
        <v>0</v>
      </c>
      <c r="G268">
        <v>0</v>
      </c>
      <c r="H268">
        <v>0</v>
      </c>
      <c r="I268">
        <v>0</v>
      </c>
      <c r="J268">
        <v>0</v>
      </c>
      <c r="K268">
        <v>0</v>
      </c>
      <c r="L268">
        <v>0</v>
      </c>
      <c r="M268">
        <v>0</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c r="BA268">
        <v>0</v>
      </c>
      <c r="BB268">
        <v>0</v>
      </c>
      <c r="BC268">
        <v>0</v>
      </c>
      <c r="BD268">
        <v>0</v>
      </c>
      <c r="BE268">
        <v>0</v>
      </c>
      <c r="BF268">
        <v>0</v>
      </c>
      <c r="BG268">
        <v>0</v>
      </c>
      <c r="BH268">
        <v>0</v>
      </c>
      <c r="BI268">
        <v>0</v>
      </c>
      <c r="BJ268">
        <v>0</v>
      </c>
      <c r="BK268">
        <v>0</v>
      </c>
      <c r="BL268">
        <v>0</v>
      </c>
      <c r="BM268">
        <v>0</v>
      </c>
      <c r="BN268">
        <v>0</v>
      </c>
      <c r="BO268">
        <v>0</v>
      </c>
      <c r="BP268">
        <v>0</v>
      </c>
      <c r="BQ268">
        <v>0</v>
      </c>
      <c r="BR268">
        <v>0</v>
      </c>
      <c r="BS268">
        <v>0</v>
      </c>
      <c r="BT268">
        <v>0</v>
      </c>
      <c r="BU268">
        <v>0</v>
      </c>
      <c r="BV268">
        <v>0</v>
      </c>
      <c r="BW268">
        <v>0</v>
      </c>
      <c r="BX268">
        <v>0</v>
      </c>
      <c r="BY268">
        <v>0</v>
      </c>
      <c r="BZ268">
        <v>0</v>
      </c>
      <c r="CA268">
        <v>0</v>
      </c>
      <c r="CB268">
        <v>0</v>
      </c>
    </row>
    <row r="269" spans="1:80" x14ac:dyDescent="0.2">
      <c r="A269">
        <v>0</v>
      </c>
      <c r="B269">
        <v>0</v>
      </c>
      <c r="C269">
        <v>0</v>
      </c>
      <c r="D269">
        <v>0</v>
      </c>
      <c r="E269">
        <v>0</v>
      </c>
      <c r="F269">
        <v>0</v>
      </c>
      <c r="G269">
        <v>0</v>
      </c>
      <c r="H269">
        <v>0</v>
      </c>
      <c r="I269">
        <v>0</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c r="BF269">
        <v>0</v>
      </c>
      <c r="BG269">
        <v>0</v>
      </c>
      <c r="BH269">
        <v>0</v>
      </c>
      <c r="BI269">
        <v>0</v>
      </c>
      <c r="BJ269">
        <v>0</v>
      </c>
      <c r="BK269">
        <v>0</v>
      </c>
      <c r="BL269">
        <v>0</v>
      </c>
      <c r="BM269">
        <v>0</v>
      </c>
      <c r="BN269">
        <v>0</v>
      </c>
      <c r="BO269">
        <v>0</v>
      </c>
      <c r="BP269">
        <v>0</v>
      </c>
      <c r="BQ269">
        <v>0</v>
      </c>
      <c r="BR269">
        <v>0</v>
      </c>
      <c r="BS269">
        <v>0</v>
      </c>
      <c r="BT269">
        <v>0</v>
      </c>
      <c r="BU269">
        <v>0</v>
      </c>
      <c r="BV269">
        <v>0</v>
      </c>
      <c r="BW269">
        <v>0</v>
      </c>
      <c r="BX269">
        <v>0</v>
      </c>
      <c r="BY269">
        <v>0</v>
      </c>
      <c r="BZ269">
        <v>0</v>
      </c>
      <c r="CA269">
        <v>0</v>
      </c>
      <c r="CB269">
        <v>0</v>
      </c>
    </row>
    <row r="270" spans="1:80" x14ac:dyDescent="0.2">
      <c r="A270">
        <v>0</v>
      </c>
      <c r="B270">
        <v>0</v>
      </c>
      <c r="C270">
        <v>0</v>
      </c>
      <c r="D270">
        <v>0</v>
      </c>
      <c r="E270">
        <v>0</v>
      </c>
      <c r="F270">
        <v>0</v>
      </c>
      <c r="G270">
        <v>0</v>
      </c>
      <c r="H270">
        <v>0</v>
      </c>
      <c r="I270">
        <v>0</v>
      </c>
      <c r="J270">
        <v>0</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0</v>
      </c>
      <c r="CA270">
        <v>0</v>
      </c>
      <c r="CB270">
        <v>0</v>
      </c>
    </row>
    <row r="271" spans="1:80" x14ac:dyDescent="0.2">
      <c r="A271">
        <v>0</v>
      </c>
      <c r="B271">
        <v>0</v>
      </c>
      <c r="C271">
        <v>0</v>
      </c>
      <c r="D271">
        <v>0</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row>
    <row r="272" spans="1:80" x14ac:dyDescent="0.2">
      <c r="A272">
        <v>0</v>
      </c>
      <c r="B272">
        <v>0</v>
      </c>
      <c r="C272">
        <v>0</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row>
    <row r="273" spans="1:80" x14ac:dyDescent="0.2">
      <c r="A273">
        <v>0</v>
      </c>
      <c r="B273">
        <v>0</v>
      </c>
      <c r="C273">
        <v>0</v>
      </c>
      <c r="D273">
        <v>0</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row>
    <row r="274" spans="1:80" x14ac:dyDescent="0.2">
      <c r="A274">
        <v>0</v>
      </c>
      <c r="B274">
        <v>0</v>
      </c>
      <c r="C274">
        <v>0</v>
      </c>
      <c r="D274">
        <v>0</v>
      </c>
      <c r="E274">
        <v>0</v>
      </c>
      <c r="F274">
        <v>0</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0</v>
      </c>
      <c r="BU274">
        <v>0</v>
      </c>
      <c r="BV274">
        <v>0</v>
      </c>
      <c r="BW274">
        <v>0</v>
      </c>
      <c r="BX274">
        <v>0</v>
      </c>
      <c r="BY274">
        <v>0</v>
      </c>
      <c r="BZ274">
        <v>0</v>
      </c>
      <c r="CA274">
        <v>0</v>
      </c>
      <c r="CB274">
        <v>0</v>
      </c>
    </row>
    <row r="275" spans="1:80" x14ac:dyDescent="0.2">
      <c r="A275">
        <v>0</v>
      </c>
      <c r="B275">
        <v>0</v>
      </c>
      <c r="C275">
        <v>0</v>
      </c>
      <c r="D275">
        <v>0</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0</v>
      </c>
      <c r="BU275">
        <v>0</v>
      </c>
      <c r="BV275">
        <v>0</v>
      </c>
      <c r="BW275">
        <v>0</v>
      </c>
      <c r="BX275">
        <v>0</v>
      </c>
      <c r="BY275">
        <v>0</v>
      </c>
      <c r="BZ275">
        <v>0</v>
      </c>
      <c r="CA275">
        <v>0</v>
      </c>
      <c r="CB275">
        <v>0</v>
      </c>
    </row>
    <row r="276" spans="1:80" x14ac:dyDescent="0.2">
      <c r="A276">
        <v>0</v>
      </c>
      <c r="B276">
        <v>0</v>
      </c>
      <c r="C276">
        <v>0</v>
      </c>
      <c r="D276">
        <v>0</v>
      </c>
      <c r="E276">
        <v>0</v>
      </c>
      <c r="F276">
        <v>0</v>
      </c>
      <c r="G276">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0</v>
      </c>
      <c r="BU276">
        <v>0</v>
      </c>
      <c r="BV276">
        <v>0</v>
      </c>
      <c r="BW276">
        <v>0</v>
      </c>
      <c r="BX276">
        <v>0</v>
      </c>
      <c r="BY276">
        <v>0</v>
      </c>
      <c r="BZ276">
        <v>0</v>
      </c>
      <c r="CA276">
        <v>0</v>
      </c>
      <c r="CB276">
        <v>0</v>
      </c>
    </row>
    <row r="277" spans="1:80" x14ac:dyDescent="0.2">
      <c r="A277">
        <v>0</v>
      </c>
      <c r="B277">
        <v>0</v>
      </c>
      <c r="C277">
        <v>0</v>
      </c>
      <c r="D277">
        <v>0</v>
      </c>
      <c r="E277">
        <v>0</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0</v>
      </c>
      <c r="CA277">
        <v>0</v>
      </c>
      <c r="CB277">
        <v>0</v>
      </c>
    </row>
    <row r="278" spans="1:80" x14ac:dyDescent="0.2">
      <c r="A278">
        <v>0</v>
      </c>
      <c r="B278">
        <v>0</v>
      </c>
      <c r="C278">
        <v>0</v>
      </c>
      <c r="D278">
        <v>0</v>
      </c>
      <c r="E278">
        <v>0</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0</v>
      </c>
      <c r="CA278">
        <v>0</v>
      </c>
      <c r="CB278">
        <v>0</v>
      </c>
    </row>
    <row r="279" spans="1:80" x14ac:dyDescent="0.2">
      <c r="A279">
        <v>0</v>
      </c>
      <c r="B279">
        <v>0</v>
      </c>
      <c r="C279">
        <v>0</v>
      </c>
      <c r="D279">
        <v>0</v>
      </c>
      <c r="E279">
        <v>0</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row>
    <row r="280" spans="1:80" x14ac:dyDescent="0.2">
      <c r="A280">
        <v>0</v>
      </c>
      <c r="B280">
        <v>0</v>
      </c>
      <c r="C280">
        <v>0</v>
      </c>
      <c r="D280">
        <v>0</v>
      </c>
      <c r="E280">
        <v>0</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0</v>
      </c>
      <c r="BI280">
        <v>0</v>
      </c>
      <c r="BJ280">
        <v>0</v>
      </c>
      <c r="BK280">
        <v>0</v>
      </c>
      <c r="BL280">
        <v>0</v>
      </c>
      <c r="BM280">
        <v>0</v>
      </c>
      <c r="BN280">
        <v>0</v>
      </c>
      <c r="BO280">
        <v>0</v>
      </c>
      <c r="BP280">
        <v>0</v>
      </c>
      <c r="BQ280">
        <v>0</v>
      </c>
      <c r="BR280">
        <v>0</v>
      </c>
      <c r="BS280">
        <v>0</v>
      </c>
      <c r="BT280">
        <v>0</v>
      </c>
      <c r="BU280">
        <v>0</v>
      </c>
      <c r="BV280">
        <v>0</v>
      </c>
      <c r="BW280">
        <v>0</v>
      </c>
      <c r="BX280">
        <v>0</v>
      </c>
      <c r="BY280">
        <v>0</v>
      </c>
      <c r="BZ280">
        <v>0</v>
      </c>
      <c r="CA280">
        <v>0</v>
      </c>
      <c r="CB280">
        <v>0</v>
      </c>
    </row>
    <row r="281" spans="1:80" x14ac:dyDescent="0.2">
      <c r="A281">
        <v>0</v>
      </c>
      <c r="B281">
        <v>0</v>
      </c>
      <c r="C281">
        <v>0</v>
      </c>
      <c r="D281">
        <v>0</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row>
    <row r="282" spans="1:80" x14ac:dyDescent="0.2">
      <c r="A282">
        <v>0</v>
      </c>
      <c r="B282">
        <v>0</v>
      </c>
      <c r="C282">
        <v>0</v>
      </c>
      <c r="D282">
        <v>0</v>
      </c>
      <c r="E282">
        <v>0</v>
      </c>
      <c r="F282">
        <v>0</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0</v>
      </c>
      <c r="BI282">
        <v>0</v>
      </c>
      <c r="BJ282">
        <v>0</v>
      </c>
      <c r="BK282">
        <v>0</v>
      </c>
      <c r="BL282">
        <v>0</v>
      </c>
      <c r="BM282">
        <v>0</v>
      </c>
      <c r="BN282">
        <v>0</v>
      </c>
      <c r="BO282">
        <v>0</v>
      </c>
      <c r="BP282">
        <v>0</v>
      </c>
      <c r="BQ282">
        <v>0</v>
      </c>
      <c r="BR282">
        <v>0</v>
      </c>
      <c r="BS282">
        <v>0</v>
      </c>
      <c r="BT282">
        <v>0</v>
      </c>
      <c r="BU282">
        <v>0</v>
      </c>
      <c r="BV282">
        <v>0</v>
      </c>
      <c r="BW282">
        <v>0</v>
      </c>
      <c r="BX282">
        <v>0</v>
      </c>
      <c r="BY282">
        <v>0</v>
      </c>
      <c r="BZ282">
        <v>0</v>
      </c>
      <c r="CA282">
        <v>0</v>
      </c>
      <c r="CB282">
        <v>0</v>
      </c>
    </row>
    <row r="283" spans="1:80" x14ac:dyDescent="0.2">
      <c r="A283">
        <v>0</v>
      </c>
      <c r="B283">
        <v>0</v>
      </c>
      <c r="C283">
        <v>0</v>
      </c>
      <c r="D283">
        <v>0</v>
      </c>
      <c r="E283">
        <v>0</v>
      </c>
      <c r="F283">
        <v>0</v>
      </c>
      <c r="G283">
        <v>0</v>
      </c>
      <c r="H283">
        <v>0</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0</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row>
    <row r="284" spans="1:80" x14ac:dyDescent="0.2">
      <c r="A284">
        <v>0</v>
      </c>
      <c r="B284">
        <v>0</v>
      </c>
      <c r="C284">
        <v>0</v>
      </c>
      <c r="D284">
        <v>0</v>
      </c>
      <c r="E284">
        <v>0</v>
      </c>
      <c r="F284">
        <v>0</v>
      </c>
      <c r="G284">
        <v>0</v>
      </c>
      <c r="H284">
        <v>0</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row>
    <row r="285" spans="1:80" x14ac:dyDescent="0.2">
      <c r="A285">
        <v>0</v>
      </c>
      <c r="B285">
        <v>0</v>
      </c>
      <c r="C285">
        <v>0</v>
      </c>
      <c r="D285">
        <v>0</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row>
    <row r="286" spans="1:80" x14ac:dyDescent="0.2">
      <c r="A286">
        <v>0</v>
      </c>
      <c r="B286">
        <v>0</v>
      </c>
      <c r="C286">
        <v>0</v>
      </c>
      <c r="D286">
        <v>0</v>
      </c>
      <c r="E286">
        <v>0</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0</v>
      </c>
      <c r="CA286">
        <v>0</v>
      </c>
      <c r="CB286">
        <v>0</v>
      </c>
    </row>
    <row r="287" spans="1:80" x14ac:dyDescent="0.2">
      <c r="A287">
        <v>0</v>
      </c>
      <c r="B287">
        <v>0</v>
      </c>
      <c r="C287">
        <v>0</v>
      </c>
      <c r="D287">
        <v>0</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row>
    <row r="288" spans="1:80" x14ac:dyDescent="0.2">
      <c r="A288">
        <v>0</v>
      </c>
      <c r="B288">
        <v>0</v>
      </c>
      <c r="C288">
        <v>0</v>
      </c>
      <c r="D288">
        <v>0</v>
      </c>
      <c r="E288">
        <v>0</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0</v>
      </c>
      <c r="CA288">
        <v>0</v>
      </c>
      <c r="CB288">
        <v>0</v>
      </c>
    </row>
    <row r="289" spans="1:80" x14ac:dyDescent="0.2">
      <c r="A289">
        <v>0</v>
      </c>
      <c r="B289">
        <v>0</v>
      </c>
      <c r="C289">
        <v>0</v>
      </c>
      <c r="D289">
        <v>0</v>
      </c>
      <c r="E289">
        <v>0</v>
      </c>
      <c r="F289">
        <v>0</v>
      </c>
      <c r="G289">
        <v>0</v>
      </c>
      <c r="H289">
        <v>0</v>
      </c>
      <c r="I289">
        <v>0</v>
      </c>
      <c r="J289">
        <v>0</v>
      </c>
      <c r="K289">
        <v>0</v>
      </c>
      <c r="L289">
        <v>0</v>
      </c>
      <c r="M289">
        <v>0</v>
      </c>
      <c r="N289">
        <v>0</v>
      </c>
      <c r="O289">
        <v>0</v>
      </c>
      <c r="P289">
        <v>0</v>
      </c>
      <c r="Q289">
        <v>0</v>
      </c>
      <c r="R289">
        <v>0</v>
      </c>
      <c r="S289">
        <v>0</v>
      </c>
      <c r="T289">
        <v>0</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0</v>
      </c>
      <c r="BO289">
        <v>0</v>
      </c>
      <c r="BP289">
        <v>0</v>
      </c>
      <c r="BQ289">
        <v>0</v>
      </c>
      <c r="BR289">
        <v>0</v>
      </c>
      <c r="BS289">
        <v>0</v>
      </c>
      <c r="BT289">
        <v>0</v>
      </c>
      <c r="BU289">
        <v>0</v>
      </c>
      <c r="BV289">
        <v>0</v>
      </c>
      <c r="BW289">
        <v>0</v>
      </c>
      <c r="BX289">
        <v>0</v>
      </c>
      <c r="BY289">
        <v>0</v>
      </c>
      <c r="BZ289">
        <v>0</v>
      </c>
      <c r="CA289">
        <v>0</v>
      </c>
      <c r="CB289">
        <v>0</v>
      </c>
    </row>
    <row r="290" spans="1:80" x14ac:dyDescent="0.2">
      <c r="A290">
        <v>0</v>
      </c>
      <c r="B290">
        <v>0</v>
      </c>
      <c r="C290">
        <v>0</v>
      </c>
      <c r="D290">
        <v>0</v>
      </c>
      <c r="E290">
        <v>0</v>
      </c>
      <c r="F290">
        <v>0</v>
      </c>
      <c r="G290">
        <v>0</v>
      </c>
      <c r="H290">
        <v>0</v>
      </c>
      <c r="I290">
        <v>0</v>
      </c>
      <c r="J290">
        <v>0</v>
      </c>
      <c r="K290">
        <v>0</v>
      </c>
      <c r="L290">
        <v>0</v>
      </c>
      <c r="M290">
        <v>0</v>
      </c>
      <c r="N290">
        <v>0</v>
      </c>
      <c r="O290">
        <v>0</v>
      </c>
      <c r="P290">
        <v>0</v>
      </c>
      <c r="Q290">
        <v>0</v>
      </c>
      <c r="R290">
        <v>0</v>
      </c>
      <c r="S290">
        <v>0</v>
      </c>
      <c r="T290">
        <v>0</v>
      </c>
      <c r="U290">
        <v>0</v>
      </c>
      <c r="V290">
        <v>0</v>
      </c>
      <c r="W290">
        <v>0</v>
      </c>
      <c r="X290">
        <v>0</v>
      </c>
      <c r="Y290">
        <v>0</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0</v>
      </c>
      <c r="BO290">
        <v>0</v>
      </c>
      <c r="BP290">
        <v>0</v>
      </c>
      <c r="BQ290">
        <v>0</v>
      </c>
      <c r="BR290">
        <v>0</v>
      </c>
      <c r="BS290">
        <v>0</v>
      </c>
      <c r="BT290">
        <v>0</v>
      </c>
      <c r="BU290">
        <v>0</v>
      </c>
      <c r="BV290">
        <v>0</v>
      </c>
      <c r="BW290">
        <v>0</v>
      </c>
      <c r="BX290">
        <v>0</v>
      </c>
      <c r="BY290">
        <v>0</v>
      </c>
      <c r="BZ290">
        <v>0</v>
      </c>
      <c r="CA290">
        <v>0</v>
      </c>
      <c r="CB290">
        <v>0</v>
      </c>
    </row>
    <row r="291" spans="1:80" x14ac:dyDescent="0.2">
      <c r="A291">
        <v>0</v>
      </c>
      <c r="B291">
        <v>0</v>
      </c>
      <c r="C291">
        <v>0</v>
      </c>
      <c r="D291">
        <v>0</v>
      </c>
      <c r="E291">
        <v>0</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row>
    <row r="292" spans="1:80" x14ac:dyDescent="0.2">
      <c r="A292">
        <v>0</v>
      </c>
      <c r="B292">
        <v>0</v>
      </c>
      <c r="C292">
        <v>0</v>
      </c>
      <c r="D292">
        <v>0</v>
      </c>
      <c r="E292">
        <v>0</v>
      </c>
      <c r="F292">
        <v>0</v>
      </c>
      <c r="G292">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0</v>
      </c>
      <c r="BO292">
        <v>0</v>
      </c>
      <c r="BP292">
        <v>0</v>
      </c>
      <c r="BQ292">
        <v>0</v>
      </c>
      <c r="BR292">
        <v>0</v>
      </c>
      <c r="BS292">
        <v>0</v>
      </c>
      <c r="BT292">
        <v>0</v>
      </c>
      <c r="BU292">
        <v>0</v>
      </c>
      <c r="BV292">
        <v>0</v>
      </c>
      <c r="BW292">
        <v>0</v>
      </c>
      <c r="BX292">
        <v>0</v>
      </c>
      <c r="BY292">
        <v>0</v>
      </c>
      <c r="BZ292">
        <v>0</v>
      </c>
      <c r="CA292">
        <v>0</v>
      </c>
      <c r="CB292">
        <v>0</v>
      </c>
    </row>
    <row r="293" spans="1:80" x14ac:dyDescent="0.2">
      <c r="A293">
        <v>0</v>
      </c>
      <c r="B293">
        <v>0</v>
      </c>
      <c r="C293">
        <v>0</v>
      </c>
      <c r="D293">
        <v>0</v>
      </c>
      <c r="E293">
        <v>0</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0</v>
      </c>
      <c r="CA293">
        <v>0</v>
      </c>
      <c r="CB293">
        <v>0</v>
      </c>
    </row>
    <row r="294" spans="1:80" x14ac:dyDescent="0.2">
      <c r="A294">
        <v>0</v>
      </c>
      <c r="B294">
        <v>0</v>
      </c>
      <c r="C294">
        <v>0</v>
      </c>
      <c r="D294">
        <v>0</v>
      </c>
      <c r="E294">
        <v>0</v>
      </c>
      <c r="F294">
        <v>0</v>
      </c>
      <c r="G294">
        <v>0</v>
      </c>
      <c r="H294">
        <v>0</v>
      </c>
      <c r="I294">
        <v>0</v>
      </c>
      <c r="J294">
        <v>0</v>
      </c>
      <c r="K294">
        <v>0</v>
      </c>
      <c r="L294">
        <v>0</v>
      </c>
      <c r="M294">
        <v>0</v>
      </c>
      <c r="N294">
        <v>0</v>
      </c>
      <c r="O294">
        <v>0</v>
      </c>
      <c r="P294">
        <v>0</v>
      </c>
      <c r="Q294">
        <v>0</v>
      </c>
      <c r="R294">
        <v>0</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0</v>
      </c>
      <c r="BO294">
        <v>0</v>
      </c>
      <c r="BP294">
        <v>0</v>
      </c>
      <c r="BQ294">
        <v>0</v>
      </c>
      <c r="BR294">
        <v>0</v>
      </c>
      <c r="BS294">
        <v>0</v>
      </c>
      <c r="BT294">
        <v>0</v>
      </c>
      <c r="BU294">
        <v>0</v>
      </c>
      <c r="BV294">
        <v>0</v>
      </c>
      <c r="BW294">
        <v>0</v>
      </c>
      <c r="BX294">
        <v>0</v>
      </c>
      <c r="BY294">
        <v>0</v>
      </c>
      <c r="BZ294">
        <v>0</v>
      </c>
      <c r="CA294">
        <v>0</v>
      </c>
      <c r="CB294">
        <v>0</v>
      </c>
    </row>
    <row r="295" spans="1:80" x14ac:dyDescent="0.2">
      <c r="A295">
        <v>0</v>
      </c>
      <c r="B295">
        <v>0</v>
      </c>
      <c r="C295">
        <v>0</v>
      </c>
      <c r="D295">
        <v>0</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row>
    <row r="296" spans="1:80" x14ac:dyDescent="0.2">
      <c r="A296">
        <v>0</v>
      </c>
      <c r="B296">
        <v>0</v>
      </c>
      <c r="C296">
        <v>0</v>
      </c>
      <c r="D296">
        <v>0</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row>
    <row r="297" spans="1:80" x14ac:dyDescent="0.2">
      <c r="A297">
        <v>0</v>
      </c>
      <c r="B297">
        <v>0</v>
      </c>
      <c r="C297">
        <v>0</v>
      </c>
      <c r="D297">
        <v>0</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row>
    <row r="298" spans="1:80" x14ac:dyDescent="0.2">
      <c r="A298">
        <v>0</v>
      </c>
      <c r="B298">
        <v>0</v>
      </c>
      <c r="C298">
        <v>0</v>
      </c>
      <c r="D298">
        <v>0</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row>
    <row r="299" spans="1:80" x14ac:dyDescent="0.2">
      <c r="A299">
        <v>0</v>
      </c>
      <c r="B299">
        <v>0</v>
      </c>
      <c r="C299">
        <v>0</v>
      </c>
      <c r="D299">
        <v>0</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row>
    <row r="300" spans="1:80" x14ac:dyDescent="0.2">
      <c r="A300">
        <v>0</v>
      </c>
      <c r="B300">
        <v>0</v>
      </c>
      <c r="C300">
        <v>0</v>
      </c>
      <c r="D300">
        <v>0</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row>
    <row r="301" spans="1:80" x14ac:dyDescent="0.2">
      <c r="A301">
        <v>0</v>
      </c>
      <c r="B301">
        <v>0</v>
      </c>
      <c r="C301">
        <v>0</v>
      </c>
      <c r="D301">
        <v>0</v>
      </c>
      <c r="E301">
        <v>0</v>
      </c>
      <c r="F301">
        <v>0</v>
      </c>
      <c r="G301">
        <v>0</v>
      </c>
      <c r="H301">
        <v>0</v>
      </c>
      <c r="I301">
        <v>0</v>
      </c>
      <c r="J301">
        <v>0</v>
      </c>
      <c r="K301">
        <v>0</v>
      </c>
      <c r="L301">
        <v>0</v>
      </c>
      <c r="M301">
        <v>0</v>
      </c>
      <c r="N301">
        <v>0</v>
      </c>
      <c r="O301">
        <v>0</v>
      </c>
      <c r="P301">
        <v>0</v>
      </c>
      <c r="Q301">
        <v>0</v>
      </c>
      <c r="R301">
        <v>0</v>
      </c>
      <c r="S301">
        <v>0</v>
      </c>
      <c r="T301">
        <v>0</v>
      </c>
      <c r="U301">
        <v>0</v>
      </c>
      <c r="V301">
        <v>0</v>
      </c>
      <c r="W301">
        <v>0</v>
      </c>
      <c r="X301">
        <v>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row>
    <row r="302" spans="1:80" x14ac:dyDescent="0.2">
      <c r="A302">
        <v>0</v>
      </c>
      <c r="B302">
        <v>0</v>
      </c>
      <c r="C302">
        <v>0</v>
      </c>
      <c r="D302">
        <v>0</v>
      </c>
      <c r="E302">
        <v>0</v>
      </c>
      <c r="F302">
        <v>0</v>
      </c>
      <c r="G302">
        <v>0</v>
      </c>
      <c r="H302">
        <v>0</v>
      </c>
      <c r="I302">
        <v>0</v>
      </c>
      <c r="J302">
        <v>0</v>
      </c>
      <c r="K302">
        <v>0</v>
      </c>
      <c r="L302">
        <v>0</v>
      </c>
      <c r="M302">
        <v>0</v>
      </c>
      <c r="N302">
        <v>0</v>
      </c>
      <c r="O302">
        <v>0</v>
      </c>
      <c r="P302">
        <v>0</v>
      </c>
      <c r="Q302">
        <v>0</v>
      </c>
      <c r="R302">
        <v>0</v>
      </c>
      <c r="S302">
        <v>0</v>
      </c>
      <c r="T302">
        <v>0</v>
      </c>
      <c r="U302">
        <v>0</v>
      </c>
      <c r="V302">
        <v>0</v>
      </c>
      <c r="W302">
        <v>0</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row>
    <row r="303" spans="1:80" x14ac:dyDescent="0.2">
      <c r="A303">
        <v>0</v>
      </c>
      <c r="B303">
        <v>0</v>
      </c>
      <c r="C303">
        <v>0</v>
      </c>
      <c r="D303">
        <v>0</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row>
    <row r="304" spans="1:80" x14ac:dyDescent="0.2">
      <c r="A304">
        <v>0</v>
      </c>
      <c r="B304">
        <v>0</v>
      </c>
      <c r="C304">
        <v>0</v>
      </c>
      <c r="D304">
        <v>0</v>
      </c>
      <c r="E304">
        <v>0</v>
      </c>
      <c r="F304">
        <v>0</v>
      </c>
      <c r="G304">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c r="BF304">
        <v>0</v>
      </c>
      <c r="BG304">
        <v>0</v>
      </c>
      <c r="BH304">
        <v>0</v>
      </c>
      <c r="BI304">
        <v>0</v>
      </c>
      <c r="BJ304">
        <v>0</v>
      </c>
      <c r="BK304">
        <v>0</v>
      </c>
      <c r="BL304">
        <v>0</v>
      </c>
      <c r="BM304">
        <v>0</v>
      </c>
      <c r="BN304">
        <v>0</v>
      </c>
      <c r="BO304">
        <v>0</v>
      </c>
      <c r="BP304">
        <v>0</v>
      </c>
      <c r="BQ304">
        <v>0</v>
      </c>
      <c r="BR304">
        <v>0</v>
      </c>
      <c r="BS304">
        <v>0</v>
      </c>
      <c r="BT304">
        <v>0</v>
      </c>
      <c r="BU304">
        <v>0</v>
      </c>
      <c r="BV304">
        <v>0</v>
      </c>
      <c r="BW304">
        <v>0</v>
      </c>
      <c r="BX304">
        <v>0</v>
      </c>
      <c r="BY304">
        <v>0</v>
      </c>
      <c r="BZ304">
        <v>0</v>
      </c>
      <c r="CA304">
        <v>0</v>
      </c>
      <c r="CB304">
        <v>0</v>
      </c>
    </row>
    <row r="305" spans="1:80" x14ac:dyDescent="0.2">
      <c r="A305">
        <v>0</v>
      </c>
      <c r="B305">
        <v>0</v>
      </c>
      <c r="C305">
        <v>0</v>
      </c>
      <c r="D305">
        <v>0</v>
      </c>
      <c r="E305">
        <v>0</v>
      </c>
      <c r="F305">
        <v>0</v>
      </c>
      <c r="G305">
        <v>0</v>
      </c>
      <c r="H305">
        <v>0</v>
      </c>
      <c r="I305">
        <v>0</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0</v>
      </c>
      <c r="AX305">
        <v>0</v>
      </c>
      <c r="AY305">
        <v>0</v>
      </c>
      <c r="AZ305">
        <v>0</v>
      </c>
      <c r="BA305">
        <v>0</v>
      </c>
      <c r="BB305">
        <v>0</v>
      </c>
      <c r="BC305">
        <v>0</v>
      </c>
      <c r="BD305">
        <v>0</v>
      </c>
      <c r="BE305">
        <v>0</v>
      </c>
      <c r="BF305">
        <v>0</v>
      </c>
      <c r="BG305">
        <v>0</v>
      </c>
      <c r="BH305">
        <v>0</v>
      </c>
      <c r="BI305">
        <v>0</v>
      </c>
      <c r="BJ305">
        <v>0</v>
      </c>
      <c r="BK305">
        <v>0</v>
      </c>
      <c r="BL305">
        <v>0</v>
      </c>
      <c r="BM305">
        <v>0</v>
      </c>
      <c r="BN305">
        <v>0</v>
      </c>
      <c r="BO305">
        <v>0</v>
      </c>
      <c r="BP305">
        <v>0</v>
      </c>
      <c r="BQ305">
        <v>0</v>
      </c>
      <c r="BR305">
        <v>0</v>
      </c>
      <c r="BS305">
        <v>0</v>
      </c>
      <c r="BT305">
        <v>0</v>
      </c>
      <c r="BU305">
        <v>0</v>
      </c>
      <c r="BV305">
        <v>0</v>
      </c>
      <c r="BW305">
        <v>0</v>
      </c>
      <c r="BX305">
        <v>0</v>
      </c>
      <c r="BY305">
        <v>0</v>
      </c>
      <c r="BZ305">
        <v>0</v>
      </c>
      <c r="CA305">
        <v>0</v>
      </c>
      <c r="CB305">
        <v>0</v>
      </c>
    </row>
    <row r="306" spans="1:80" x14ac:dyDescent="0.2">
      <c r="A306">
        <v>0</v>
      </c>
      <c r="B306">
        <v>0</v>
      </c>
      <c r="C306">
        <v>0</v>
      </c>
      <c r="D306">
        <v>0</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c r="BF306">
        <v>0</v>
      </c>
      <c r="BG306">
        <v>0</v>
      </c>
      <c r="BH306">
        <v>0</v>
      </c>
      <c r="BI306">
        <v>0</v>
      </c>
      <c r="BJ306">
        <v>0</v>
      </c>
      <c r="BK306">
        <v>0</v>
      </c>
      <c r="BL306">
        <v>0</v>
      </c>
      <c r="BM306">
        <v>0</v>
      </c>
      <c r="BN306">
        <v>0</v>
      </c>
      <c r="BO306">
        <v>0</v>
      </c>
      <c r="BP306">
        <v>0</v>
      </c>
      <c r="BQ306">
        <v>0</v>
      </c>
      <c r="BR306">
        <v>0</v>
      </c>
      <c r="BS306">
        <v>0</v>
      </c>
      <c r="BT306">
        <v>0</v>
      </c>
      <c r="BU306">
        <v>0</v>
      </c>
      <c r="BV306">
        <v>0</v>
      </c>
      <c r="BW306">
        <v>0</v>
      </c>
      <c r="BX306">
        <v>0</v>
      </c>
      <c r="BY306">
        <v>0</v>
      </c>
      <c r="BZ306">
        <v>0</v>
      </c>
      <c r="CA306">
        <v>0</v>
      </c>
      <c r="CB306">
        <v>0</v>
      </c>
    </row>
    <row r="307" spans="1:80" x14ac:dyDescent="0.2">
      <c r="A307">
        <v>0</v>
      </c>
      <c r="B307">
        <v>0</v>
      </c>
      <c r="C307">
        <v>0</v>
      </c>
      <c r="D307">
        <v>0</v>
      </c>
      <c r="E307">
        <v>0</v>
      </c>
      <c r="F307">
        <v>0</v>
      </c>
      <c r="G307">
        <v>0</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c r="BF307">
        <v>0</v>
      </c>
      <c r="BG307">
        <v>0</v>
      </c>
      <c r="BH307">
        <v>0</v>
      </c>
      <c r="BI307">
        <v>0</v>
      </c>
      <c r="BJ307">
        <v>0</v>
      </c>
      <c r="BK307">
        <v>0</v>
      </c>
      <c r="BL307">
        <v>0</v>
      </c>
      <c r="BM307">
        <v>0</v>
      </c>
      <c r="BN307">
        <v>0</v>
      </c>
      <c r="BO307">
        <v>0</v>
      </c>
      <c r="BP307">
        <v>0</v>
      </c>
      <c r="BQ307">
        <v>0</v>
      </c>
      <c r="BR307">
        <v>0</v>
      </c>
      <c r="BS307">
        <v>0</v>
      </c>
      <c r="BT307">
        <v>0</v>
      </c>
      <c r="BU307">
        <v>0</v>
      </c>
      <c r="BV307">
        <v>0</v>
      </c>
      <c r="BW307">
        <v>0</v>
      </c>
      <c r="BX307">
        <v>0</v>
      </c>
      <c r="BY307">
        <v>0</v>
      </c>
      <c r="BZ307">
        <v>0</v>
      </c>
      <c r="CA307">
        <v>0</v>
      </c>
      <c r="CB307">
        <v>0</v>
      </c>
    </row>
    <row r="308" spans="1:80" x14ac:dyDescent="0.2">
      <c r="A308">
        <v>0</v>
      </c>
      <c r="B308">
        <v>0</v>
      </c>
      <c r="C308">
        <v>0</v>
      </c>
      <c r="D308">
        <v>0</v>
      </c>
      <c r="E308">
        <v>0</v>
      </c>
      <c r="F308">
        <v>0</v>
      </c>
      <c r="G308">
        <v>0</v>
      </c>
      <c r="H308">
        <v>0</v>
      </c>
      <c r="I308">
        <v>0</v>
      </c>
      <c r="J308">
        <v>0</v>
      </c>
      <c r="K308">
        <v>0</v>
      </c>
      <c r="L308">
        <v>0</v>
      </c>
      <c r="M308">
        <v>0</v>
      </c>
      <c r="N308">
        <v>0</v>
      </c>
      <c r="O308">
        <v>0</v>
      </c>
      <c r="P308">
        <v>0</v>
      </c>
      <c r="Q308">
        <v>0</v>
      </c>
      <c r="R308">
        <v>0</v>
      </c>
      <c r="S308">
        <v>0</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v>0</v>
      </c>
      <c r="AT308">
        <v>0</v>
      </c>
      <c r="AU308">
        <v>0</v>
      </c>
      <c r="AV308">
        <v>0</v>
      </c>
      <c r="AW308">
        <v>0</v>
      </c>
      <c r="AX308">
        <v>0</v>
      </c>
      <c r="AY308">
        <v>0</v>
      </c>
      <c r="AZ308">
        <v>0</v>
      </c>
      <c r="BA308">
        <v>0</v>
      </c>
      <c r="BB308">
        <v>0</v>
      </c>
      <c r="BC308">
        <v>0</v>
      </c>
      <c r="BD308">
        <v>0</v>
      </c>
      <c r="BE308">
        <v>0</v>
      </c>
      <c r="BF308">
        <v>0</v>
      </c>
      <c r="BG308">
        <v>0</v>
      </c>
      <c r="BH308">
        <v>0</v>
      </c>
      <c r="BI308">
        <v>0</v>
      </c>
      <c r="BJ308">
        <v>0</v>
      </c>
      <c r="BK308">
        <v>0</v>
      </c>
      <c r="BL308">
        <v>0</v>
      </c>
      <c r="BM308">
        <v>0</v>
      </c>
      <c r="BN308">
        <v>0</v>
      </c>
      <c r="BO308">
        <v>0</v>
      </c>
      <c r="BP308">
        <v>0</v>
      </c>
      <c r="BQ308">
        <v>0</v>
      </c>
      <c r="BR308">
        <v>0</v>
      </c>
      <c r="BS308">
        <v>0</v>
      </c>
      <c r="BT308">
        <v>0</v>
      </c>
      <c r="BU308">
        <v>0</v>
      </c>
      <c r="BV308">
        <v>0</v>
      </c>
      <c r="BW308">
        <v>0</v>
      </c>
      <c r="BX308">
        <v>0</v>
      </c>
      <c r="BY308">
        <v>0</v>
      </c>
      <c r="BZ308">
        <v>0</v>
      </c>
      <c r="CA308">
        <v>0</v>
      </c>
      <c r="CB308">
        <v>0</v>
      </c>
    </row>
    <row r="309" spans="1:80" x14ac:dyDescent="0.2">
      <c r="A309">
        <v>0</v>
      </c>
      <c r="B309">
        <v>0</v>
      </c>
      <c r="C309">
        <v>0</v>
      </c>
      <c r="D309">
        <v>0</v>
      </c>
      <c r="E309">
        <v>0</v>
      </c>
      <c r="F309">
        <v>0</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c r="BF309">
        <v>0</v>
      </c>
      <c r="BG309">
        <v>0</v>
      </c>
      <c r="BH309">
        <v>0</v>
      </c>
      <c r="BI309">
        <v>0</v>
      </c>
      <c r="BJ309">
        <v>0</v>
      </c>
      <c r="BK309">
        <v>0</v>
      </c>
      <c r="BL309">
        <v>0</v>
      </c>
      <c r="BM309">
        <v>0</v>
      </c>
      <c r="BN309">
        <v>0</v>
      </c>
      <c r="BO309">
        <v>0</v>
      </c>
      <c r="BP309">
        <v>0</v>
      </c>
      <c r="BQ309">
        <v>0</v>
      </c>
      <c r="BR309">
        <v>0</v>
      </c>
      <c r="BS309">
        <v>0</v>
      </c>
      <c r="BT309">
        <v>0</v>
      </c>
      <c r="BU309">
        <v>0</v>
      </c>
      <c r="BV309">
        <v>0</v>
      </c>
      <c r="BW309">
        <v>0</v>
      </c>
      <c r="BX309">
        <v>0</v>
      </c>
      <c r="BY309">
        <v>0</v>
      </c>
      <c r="BZ309">
        <v>0</v>
      </c>
      <c r="CA309">
        <v>0</v>
      </c>
      <c r="CB309">
        <v>0</v>
      </c>
    </row>
    <row r="310" spans="1:80" x14ac:dyDescent="0.2">
      <c r="A310">
        <v>0</v>
      </c>
      <c r="B310">
        <v>0</v>
      </c>
      <c r="C310">
        <v>0</v>
      </c>
      <c r="D310">
        <v>0</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0</v>
      </c>
      <c r="BB310">
        <v>0</v>
      </c>
      <c r="BC310">
        <v>0</v>
      </c>
      <c r="BD310">
        <v>0</v>
      </c>
      <c r="BE310">
        <v>0</v>
      </c>
      <c r="BF310">
        <v>0</v>
      </c>
      <c r="BG310">
        <v>0</v>
      </c>
      <c r="BH310">
        <v>0</v>
      </c>
      <c r="BI310">
        <v>0</v>
      </c>
      <c r="BJ310">
        <v>0</v>
      </c>
      <c r="BK310">
        <v>0</v>
      </c>
      <c r="BL310">
        <v>0</v>
      </c>
      <c r="BM310">
        <v>0</v>
      </c>
      <c r="BN310">
        <v>0</v>
      </c>
      <c r="BO310">
        <v>0</v>
      </c>
      <c r="BP310">
        <v>0</v>
      </c>
      <c r="BQ310">
        <v>0</v>
      </c>
      <c r="BR310">
        <v>0</v>
      </c>
      <c r="BS310">
        <v>0</v>
      </c>
      <c r="BT310">
        <v>0</v>
      </c>
      <c r="BU310">
        <v>0</v>
      </c>
      <c r="BV310">
        <v>0</v>
      </c>
      <c r="BW310">
        <v>0</v>
      </c>
      <c r="BX310">
        <v>0</v>
      </c>
      <c r="BY310">
        <v>0</v>
      </c>
      <c r="BZ310">
        <v>0</v>
      </c>
      <c r="CA310">
        <v>0</v>
      </c>
      <c r="CB310">
        <v>0</v>
      </c>
    </row>
    <row r="311" spans="1:80" x14ac:dyDescent="0.2">
      <c r="A311">
        <v>0</v>
      </c>
      <c r="B311">
        <v>0</v>
      </c>
      <c r="C311">
        <v>0</v>
      </c>
      <c r="D311">
        <v>0</v>
      </c>
      <c r="E311">
        <v>0</v>
      </c>
      <c r="F311">
        <v>0</v>
      </c>
      <c r="G311">
        <v>0</v>
      </c>
      <c r="H311">
        <v>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c r="BA311">
        <v>0</v>
      </c>
      <c r="BB311">
        <v>0</v>
      </c>
      <c r="BC311">
        <v>0</v>
      </c>
      <c r="BD311">
        <v>0</v>
      </c>
      <c r="BE311">
        <v>0</v>
      </c>
      <c r="BF311">
        <v>0</v>
      </c>
      <c r="BG311">
        <v>0</v>
      </c>
      <c r="BH311">
        <v>0</v>
      </c>
      <c r="BI311">
        <v>0</v>
      </c>
      <c r="BJ311">
        <v>0</v>
      </c>
      <c r="BK311">
        <v>0</v>
      </c>
      <c r="BL311">
        <v>0</v>
      </c>
      <c r="BM311">
        <v>0</v>
      </c>
      <c r="BN311">
        <v>0</v>
      </c>
      <c r="BO311">
        <v>0</v>
      </c>
      <c r="BP311">
        <v>0</v>
      </c>
      <c r="BQ311">
        <v>0</v>
      </c>
      <c r="BR311">
        <v>0</v>
      </c>
      <c r="BS311">
        <v>0</v>
      </c>
      <c r="BT311">
        <v>0</v>
      </c>
      <c r="BU311">
        <v>0</v>
      </c>
      <c r="BV311">
        <v>0</v>
      </c>
      <c r="BW311">
        <v>0</v>
      </c>
      <c r="BX311">
        <v>0</v>
      </c>
      <c r="BY311">
        <v>0</v>
      </c>
      <c r="BZ311">
        <v>0</v>
      </c>
      <c r="CA311">
        <v>0</v>
      </c>
      <c r="CB311">
        <v>0</v>
      </c>
    </row>
    <row r="312" spans="1:80" x14ac:dyDescent="0.2">
      <c r="A312">
        <v>0</v>
      </c>
      <c r="B312">
        <v>0</v>
      </c>
      <c r="C312">
        <v>0</v>
      </c>
      <c r="D312">
        <v>0</v>
      </c>
      <c r="E312">
        <v>0</v>
      </c>
      <c r="F312">
        <v>0</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0</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c r="BW312">
        <v>0</v>
      </c>
      <c r="BX312">
        <v>0</v>
      </c>
      <c r="BY312">
        <v>0</v>
      </c>
      <c r="BZ312">
        <v>0</v>
      </c>
      <c r="CA312">
        <v>0</v>
      </c>
      <c r="CB312">
        <v>0</v>
      </c>
    </row>
    <row r="313" spans="1:80" x14ac:dyDescent="0.2">
      <c r="A313">
        <v>0</v>
      </c>
      <c r="B313">
        <v>0</v>
      </c>
      <c r="C313">
        <v>0</v>
      </c>
      <c r="D313">
        <v>0</v>
      </c>
      <c r="E313">
        <v>0</v>
      </c>
      <c r="F313">
        <v>0</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v>0</v>
      </c>
      <c r="AU313">
        <v>0</v>
      </c>
      <c r="AV313">
        <v>0</v>
      </c>
      <c r="AW313">
        <v>0</v>
      </c>
      <c r="AX313">
        <v>0</v>
      </c>
      <c r="AY313">
        <v>0</v>
      </c>
      <c r="AZ313">
        <v>0</v>
      </c>
      <c r="BA313">
        <v>0</v>
      </c>
      <c r="BB313">
        <v>0</v>
      </c>
      <c r="BC313">
        <v>0</v>
      </c>
      <c r="BD313">
        <v>0</v>
      </c>
      <c r="BE313">
        <v>0</v>
      </c>
      <c r="BF313">
        <v>0</v>
      </c>
      <c r="BG313">
        <v>0</v>
      </c>
      <c r="BH313">
        <v>0</v>
      </c>
      <c r="BI313">
        <v>0</v>
      </c>
      <c r="BJ313">
        <v>0</v>
      </c>
      <c r="BK313">
        <v>0</v>
      </c>
      <c r="BL313">
        <v>0</v>
      </c>
      <c r="BM313">
        <v>0</v>
      </c>
      <c r="BN313">
        <v>0</v>
      </c>
      <c r="BO313">
        <v>0</v>
      </c>
      <c r="BP313">
        <v>0</v>
      </c>
      <c r="BQ313">
        <v>0</v>
      </c>
      <c r="BR313">
        <v>0</v>
      </c>
      <c r="BS313">
        <v>0</v>
      </c>
      <c r="BT313">
        <v>0</v>
      </c>
      <c r="BU313">
        <v>0</v>
      </c>
      <c r="BV313">
        <v>0</v>
      </c>
      <c r="BW313">
        <v>0</v>
      </c>
      <c r="BX313">
        <v>0</v>
      </c>
      <c r="BY313">
        <v>0</v>
      </c>
      <c r="BZ313">
        <v>0</v>
      </c>
      <c r="CA313">
        <v>0</v>
      </c>
      <c r="CB313">
        <v>0</v>
      </c>
    </row>
    <row r="314" spans="1:80" x14ac:dyDescent="0.2">
      <c r="A314">
        <v>0</v>
      </c>
      <c r="B314">
        <v>0</v>
      </c>
      <c r="C314">
        <v>0</v>
      </c>
      <c r="D314">
        <v>0</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c r="BF314">
        <v>0</v>
      </c>
      <c r="BG314">
        <v>0</v>
      </c>
      <c r="BH314">
        <v>0</v>
      </c>
      <c r="BI314">
        <v>0</v>
      </c>
      <c r="BJ314">
        <v>0</v>
      </c>
      <c r="BK314">
        <v>0</v>
      </c>
      <c r="BL314">
        <v>0</v>
      </c>
      <c r="BM314">
        <v>0</v>
      </c>
      <c r="BN314">
        <v>0</v>
      </c>
      <c r="BO314">
        <v>0</v>
      </c>
      <c r="BP314">
        <v>0</v>
      </c>
      <c r="BQ314">
        <v>0</v>
      </c>
      <c r="BR314">
        <v>0</v>
      </c>
      <c r="BS314">
        <v>0</v>
      </c>
      <c r="BT314">
        <v>0</v>
      </c>
      <c r="BU314">
        <v>0</v>
      </c>
      <c r="BV314">
        <v>0</v>
      </c>
      <c r="BW314">
        <v>0</v>
      </c>
      <c r="BX314">
        <v>0</v>
      </c>
      <c r="BY314">
        <v>0</v>
      </c>
      <c r="BZ314">
        <v>0</v>
      </c>
      <c r="CA314">
        <v>0</v>
      </c>
      <c r="CB314">
        <v>0</v>
      </c>
    </row>
    <row r="315" spans="1:80" x14ac:dyDescent="0.2">
      <c r="A315">
        <v>0</v>
      </c>
      <c r="B315">
        <v>0</v>
      </c>
      <c r="C315">
        <v>0</v>
      </c>
      <c r="D315">
        <v>0</v>
      </c>
      <c r="E315">
        <v>0</v>
      </c>
      <c r="F315">
        <v>0</v>
      </c>
      <c r="G315">
        <v>0</v>
      </c>
      <c r="H315">
        <v>0</v>
      </c>
      <c r="I315">
        <v>0</v>
      </c>
      <c r="J315">
        <v>0</v>
      </c>
      <c r="K315">
        <v>0</v>
      </c>
      <c r="L315">
        <v>0</v>
      </c>
      <c r="M315">
        <v>0</v>
      </c>
      <c r="N315">
        <v>0</v>
      </c>
      <c r="O315">
        <v>0</v>
      </c>
      <c r="P315">
        <v>0</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v>0</v>
      </c>
      <c r="AY315">
        <v>0</v>
      </c>
      <c r="AZ315">
        <v>0</v>
      </c>
      <c r="BA315">
        <v>0</v>
      </c>
      <c r="BB315">
        <v>0</v>
      </c>
      <c r="BC315">
        <v>0</v>
      </c>
      <c r="BD315">
        <v>0</v>
      </c>
      <c r="BE315">
        <v>0</v>
      </c>
      <c r="BF315">
        <v>0</v>
      </c>
      <c r="BG315">
        <v>0</v>
      </c>
      <c r="BH315">
        <v>0</v>
      </c>
      <c r="BI315">
        <v>0</v>
      </c>
      <c r="BJ315">
        <v>0</v>
      </c>
      <c r="BK315">
        <v>0</v>
      </c>
      <c r="BL315">
        <v>0</v>
      </c>
      <c r="BM315">
        <v>0</v>
      </c>
      <c r="BN315">
        <v>0</v>
      </c>
      <c r="BO315">
        <v>0</v>
      </c>
      <c r="BP315">
        <v>0</v>
      </c>
      <c r="BQ315">
        <v>0</v>
      </c>
      <c r="BR315">
        <v>0</v>
      </c>
      <c r="BS315">
        <v>0</v>
      </c>
      <c r="BT315">
        <v>0</v>
      </c>
      <c r="BU315">
        <v>0</v>
      </c>
      <c r="BV315">
        <v>0</v>
      </c>
      <c r="BW315">
        <v>0</v>
      </c>
      <c r="BX315">
        <v>0</v>
      </c>
      <c r="BY315">
        <v>0</v>
      </c>
      <c r="BZ315">
        <v>0</v>
      </c>
      <c r="CA315">
        <v>0</v>
      </c>
      <c r="CB315">
        <v>0</v>
      </c>
    </row>
    <row r="316" spans="1:80" x14ac:dyDescent="0.2">
      <c r="A316">
        <v>0</v>
      </c>
      <c r="B316">
        <v>0</v>
      </c>
      <c r="C316">
        <v>0</v>
      </c>
      <c r="D316">
        <v>0</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v>0</v>
      </c>
      <c r="BI316">
        <v>0</v>
      </c>
      <c r="BJ316">
        <v>0</v>
      </c>
      <c r="BK316">
        <v>0</v>
      </c>
      <c r="BL316">
        <v>0</v>
      </c>
      <c r="BM316">
        <v>0</v>
      </c>
      <c r="BN316">
        <v>0</v>
      </c>
      <c r="BO316">
        <v>0</v>
      </c>
      <c r="BP316">
        <v>0</v>
      </c>
      <c r="BQ316">
        <v>0</v>
      </c>
      <c r="BR316">
        <v>0</v>
      </c>
      <c r="BS316">
        <v>0</v>
      </c>
      <c r="BT316">
        <v>0</v>
      </c>
      <c r="BU316">
        <v>0</v>
      </c>
      <c r="BV316">
        <v>0</v>
      </c>
      <c r="BW316">
        <v>0</v>
      </c>
      <c r="BX316">
        <v>0</v>
      </c>
      <c r="BY316">
        <v>0</v>
      </c>
      <c r="BZ316">
        <v>0</v>
      </c>
      <c r="CA316">
        <v>0</v>
      </c>
      <c r="CB316">
        <v>0</v>
      </c>
    </row>
    <row r="317" spans="1:80" x14ac:dyDescent="0.2">
      <c r="A317">
        <v>0</v>
      </c>
      <c r="B317">
        <v>0</v>
      </c>
      <c r="C317">
        <v>0</v>
      </c>
      <c r="D317">
        <v>0</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v>0</v>
      </c>
      <c r="AU317">
        <v>0</v>
      </c>
      <c r="AV317">
        <v>0</v>
      </c>
      <c r="AW317">
        <v>0</v>
      </c>
      <c r="AX317">
        <v>0</v>
      </c>
      <c r="AY317">
        <v>0</v>
      </c>
      <c r="AZ317">
        <v>0</v>
      </c>
      <c r="BA317">
        <v>0</v>
      </c>
      <c r="BB317">
        <v>0</v>
      </c>
      <c r="BC317">
        <v>0</v>
      </c>
      <c r="BD317">
        <v>0</v>
      </c>
      <c r="BE317">
        <v>0</v>
      </c>
      <c r="BF317">
        <v>0</v>
      </c>
      <c r="BG317">
        <v>0</v>
      </c>
      <c r="BH317">
        <v>0</v>
      </c>
      <c r="BI317">
        <v>0</v>
      </c>
      <c r="BJ317">
        <v>0</v>
      </c>
      <c r="BK317">
        <v>0</v>
      </c>
      <c r="BL317">
        <v>0</v>
      </c>
      <c r="BM317">
        <v>0</v>
      </c>
      <c r="BN317">
        <v>0</v>
      </c>
      <c r="BO317">
        <v>0</v>
      </c>
      <c r="BP317">
        <v>0</v>
      </c>
      <c r="BQ317">
        <v>0</v>
      </c>
      <c r="BR317">
        <v>0</v>
      </c>
      <c r="BS317">
        <v>0</v>
      </c>
      <c r="BT317">
        <v>0</v>
      </c>
      <c r="BU317">
        <v>0</v>
      </c>
      <c r="BV317">
        <v>0</v>
      </c>
      <c r="BW317">
        <v>0</v>
      </c>
      <c r="BX317">
        <v>0</v>
      </c>
      <c r="BY317">
        <v>0</v>
      </c>
      <c r="BZ317">
        <v>0</v>
      </c>
      <c r="CA317">
        <v>0</v>
      </c>
      <c r="CB317">
        <v>0</v>
      </c>
    </row>
    <row r="318" spans="1:80" x14ac:dyDescent="0.2">
      <c r="A318">
        <v>0</v>
      </c>
      <c r="B318">
        <v>0</v>
      </c>
      <c r="C318">
        <v>0</v>
      </c>
      <c r="D318">
        <v>0</v>
      </c>
      <c r="E318">
        <v>0</v>
      </c>
      <c r="F318">
        <v>0</v>
      </c>
      <c r="G318">
        <v>0</v>
      </c>
      <c r="H318">
        <v>0</v>
      </c>
      <c r="I318">
        <v>0</v>
      </c>
      <c r="J318">
        <v>0</v>
      </c>
      <c r="K318">
        <v>0</v>
      </c>
      <c r="L318">
        <v>0</v>
      </c>
      <c r="M318">
        <v>0</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v>0</v>
      </c>
      <c r="AY318">
        <v>0</v>
      </c>
      <c r="AZ318">
        <v>0</v>
      </c>
      <c r="BA318">
        <v>0</v>
      </c>
      <c r="BB318">
        <v>0</v>
      </c>
      <c r="BC318">
        <v>0</v>
      </c>
      <c r="BD318">
        <v>0</v>
      </c>
      <c r="BE318">
        <v>0</v>
      </c>
      <c r="BF318">
        <v>0</v>
      </c>
      <c r="BG318">
        <v>0</v>
      </c>
      <c r="BH318">
        <v>0</v>
      </c>
      <c r="BI318">
        <v>0</v>
      </c>
      <c r="BJ318">
        <v>0</v>
      </c>
      <c r="BK318">
        <v>0</v>
      </c>
      <c r="BL318">
        <v>0</v>
      </c>
      <c r="BM318">
        <v>0</v>
      </c>
      <c r="BN318">
        <v>0</v>
      </c>
      <c r="BO318">
        <v>0</v>
      </c>
      <c r="BP318">
        <v>0</v>
      </c>
      <c r="BQ318">
        <v>0</v>
      </c>
      <c r="BR318">
        <v>0</v>
      </c>
      <c r="BS318">
        <v>0</v>
      </c>
      <c r="BT318">
        <v>0</v>
      </c>
      <c r="BU318">
        <v>0</v>
      </c>
      <c r="BV318">
        <v>0</v>
      </c>
      <c r="BW318">
        <v>0</v>
      </c>
      <c r="BX318">
        <v>0</v>
      </c>
      <c r="BY318">
        <v>0</v>
      </c>
      <c r="BZ318">
        <v>0</v>
      </c>
      <c r="CA318">
        <v>0</v>
      </c>
      <c r="CB318">
        <v>0</v>
      </c>
    </row>
    <row r="319" spans="1:80" x14ac:dyDescent="0.2">
      <c r="A319">
        <v>0</v>
      </c>
      <c r="B319">
        <v>0</v>
      </c>
      <c r="C319">
        <v>0</v>
      </c>
      <c r="D319">
        <v>0</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c r="BD319">
        <v>0</v>
      </c>
      <c r="BE319">
        <v>0</v>
      </c>
      <c r="BF319">
        <v>0</v>
      </c>
      <c r="BG319">
        <v>0</v>
      </c>
      <c r="BH319">
        <v>0</v>
      </c>
      <c r="BI319">
        <v>0</v>
      </c>
      <c r="BJ319">
        <v>0</v>
      </c>
      <c r="BK319">
        <v>0</v>
      </c>
      <c r="BL319">
        <v>0</v>
      </c>
      <c r="BM319">
        <v>0</v>
      </c>
      <c r="BN319">
        <v>0</v>
      </c>
      <c r="BO319">
        <v>0</v>
      </c>
      <c r="BP319">
        <v>0</v>
      </c>
      <c r="BQ319">
        <v>0</v>
      </c>
      <c r="BR319">
        <v>0</v>
      </c>
      <c r="BS319">
        <v>0</v>
      </c>
      <c r="BT319">
        <v>0</v>
      </c>
      <c r="BU319">
        <v>0</v>
      </c>
      <c r="BV319">
        <v>0</v>
      </c>
      <c r="BW319">
        <v>0</v>
      </c>
      <c r="BX319">
        <v>0</v>
      </c>
      <c r="BY319">
        <v>0</v>
      </c>
      <c r="BZ319">
        <v>0</v>
      </c>
      <c r="CA319">
        <v>0</v>
      </c>
      <c r="CB319">
        <v>0</v>
      </c>
    </row>
    <row r="320" spans="1:80" x14ac:dyDescent="0.2">
      <c r="A320">
        <v>0</v>
      </c>
      <c r="B320">
        <v>0</v>
      </c>
      <c r="C320">
        <v>0</v>
      </c>
      <c r="D320">
        <v>0</v>
      </c>
      <c r="E320">
        <v>0</v>
      </c>
      <c r="F320">
        <v>0</v>
      </c>
      <c r="G320">
        <v>0</v>
      </c>
      <c r="H320">
        <v>0</v>
      </c>
      <c r="I320">
        <v>0</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c r="BF320">
        <v>0</v>
      </c>
      <c r="BG320">
        <v>0</v>
      </c>
      <c r="BH320">
        <v>0</v>
      </c>
      <c r="BI320">
        <v>0</v>
      </c>
      <c r="BJ320">
        <v>0</v>
      </c>
      <c r="BK320">
        <v>0</v>
      </c>
      <c r="BL320">
        <v>0</v>
      </c>
      <c r="BM320">
        <v>0</v>
      </c>
      <c r="BN320">
        <v>0</v>
      </c>
      <c r="BO320">
        <v>0</v>
      </c>
      <c r="BP320">
        <v>0</v>
      </c>
      <c r="BQ320">
        <v>0</v>
      </c>
      <c r="BR320">
        <v>0</v>
      </c>
      <c r="BS320">
        <v>0</v>
      </c>
      <c r="BT320">
        <v>0</v>
      </c>
      <c r="BU320">
        <v>0</v>
      </c>
      <c r="BV320">
        <v>0</v>
      </c>
      <c r="BW320">
        <v>0</v>
      </c>
      <c r="BX320">
        <v>0</v>
      </c>
      <c r="BY320">
        <v>0</v>
      </c>
      <c r="BZ320">
        <v>0</v>
      </c>
      <c r="CA320">
        <v>0</v>
      </c>
      <c r="CB320">
        <v>0</v>
      </c>
    </row>
    <row r="321" spans="1:80" x14ac:dyDescent="0.2">
      <c r="A321">
        <v>0</v>
      </c>
      <c r="B321">
        <v>0</v>
      </c>
      <c r="C321">
        <v>0</v>
      </c>
      <c r="D321">
        <v>0</v>
      </c>
      <c r="E321">
        <v>0</v>
      </c>
      <c r="F321">
        <v>0</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c r="AY321">
        <v>0</v>
      </c>
      <c r="AZ321">
        <v>0</v>
      </c>
      <c r="BA321">
        <v>0</v>
      </c>
      <c r="BB321">
        <v>0</v>
      </c>
      <c r="BC321">
        <v>0</v>
      </c>
      <c r="BD321">
        <v>0</v>
      </c>
      <c r="BE321">
        <v>0</v>
      </c>
      <c r="BF321">
        <v>0</v>
      </c>
      <c r="BG321">
        <v>0</v>
      </c>
      <c r="BH321">
        <v>0</v>
      </c>
      <c r="BI321">
        <v>0</v>
      </c>
      <c r="BJ321">
        <v>0</v>
      </c>
      <c r="BK321">
        <v>0</v>
      </c>
      <c r="BL321">
        <v>0</v>
      </c>
      <c r="BM321">
        <v>0</v>
      </c>
      <c r="BN321">
        <v>0</v>
      </c>
      <c r="BO321">
        <v>0</v>
      </c>
      <c r="BP321">
        <v>0</v>
      </c>
      <c r="BQ321">
        <v>0</v>
      </c>
      <c r="BR321">
        <v>0</v>
      </c>
      <c r="BS321">
        <v>0</v>
      </c>
      <c r="BT321">
        <v>0</v>
      </c>
      <c r="BU321">
        <v>0</v>
      </c>
      <c r="BV321">
        <v>0</v>
      </c>
      <c r="BW321">
        <v>0</v>
      </c>
      <c r="BX321">
        <v>0</v>
      </c>
      <c r="BY321">
        <v>0</v>
      </c>
      <c r="BZ321">
        <v>0</v>
      </c>
      <c r="CA321">
        <v>0</v>
      </c>
      <c r="CB321">
        <v>0</v>
      </c>
    </row>
    <row r="322" spans="1:80" x14ac:dyDescent="0.2">
      <c r="A322">
        <v>0</v>
      </c>
      <c r="B322">
        <v>0</v>
      </c>
      <c r="C322">
        <v>0</v>
      </c>
      <c r="D322">
        <v>0</v>
      </c>
      <c r="E322">
        <v>0</v>
      </c>
      <c r="F322">
        <v>0</v>
      </c>
      <c r="G322">
        <v>0</v>
      </c>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c r="BA322">
        <v>0</v>
      </c>
      <c r="BB322">
        <v>0</v>
      </c>
      <c r="BC322">
        <v>0</v>
      </c>
      <c r="BD322">
        <v>0</v>
      </c>
      <c r="BE322">
        <v>0</v>
      </c>
      <c r="BF322">
        <v>0</v>
      </c>
      <c r="BG322">
        <v>0</v>
      </c>
      <c r="BH322">
        <v>0</v>
      </c>
      <c r="BI322">
        <v>0</v>
      </c>
      <c r="BJ322">
        <v>0</v>
      </c>
      <c r="BK322">
        <v>0</v>
      </c>
      <c r="BL322">
        <v>0</v>
      </c>
      <c r="BM322">
        <v>0</v>
      </c>
      <c r="BN322">
        <v>0</v>
      </c>
      <c r="BO322">
        <v>0</v>
      </c>
      <c r="BP322">
        <v>0</v>
      </c>
      <c r="BQ322">
        <v>0</v>
      </c>
      <c r="BR322">
        <v>0</v>
      </c>
      <c r="BS322">
        <v>0</v>
      </c>
      <c r="BT322">
        <v>0</v>
      </c>
      <c r="BU322">
        <v>0</v>
      </c>
      <c r="BV322">
        <v>0</v>
      </c>
      <c r="BW322">
        <v>0</v>
      </c>
      <c r="BX322">
        <v>0</v>
      </c>
      <c r="BY322">
        <v>0</v>
      </c>
      <c r="BZ322">
        <v>0</v>
      </c>
      <c r="CA322">
        <v>0</v>
      </c>
      <c r="CB322">
        <v>0</v>
      </c>
    </row>
    <row r="323" spans="1:80" x14ac:dyDescent="0.2">
      <c r="A323">
        <v>0</v>
      </c>
      <c r="B323">
        <v>0</v>
      </c>
      <c r="C323">
        <v>0</v>
      </c>
      <c r="D323">
        <v>0</v>
      </c>
      <c r="E323">
        <v>0</v>
      </c>
      <c r="F323">
        <v>0</v>
      </c>
      <c r="G323">
        <v>0</v>
      </c>
      <c r="H323">
        <v>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0</v>
      </c>
      <c r="AV323">
        <v>0</v>
      </c>
      <c r="AW323">
        <v>0</v>
      </c>
      <c r="AX323">
        <v>0</v>
      </c>
      <c r="AY323">
        <v>0</v>
      </c>
      <c r="AZ323">
        <v>0</v>
      </c>
      <c r="BA323">
        <v>0</v>
      </c>
      <c r="BB323">
        <v>0</v>
      </c>
      <c r="BC323">
        <v>0</v>
      </c>
      <c r="BD323">
        <v>0</v>
      </c>
      <c r="BE323">
        <v>0</v>
      </c>
      <c r="BF323">
        <v>0</v>
      </c>
      <c r="BG323">
        <v>0</v>
      </c>
      <c r="BH323">
        <v>0</v>
      </c>
      <c r="BI323">
        <v>0</v>
      </c>
      <c r="BJ323">
        <v>0</v>
      </c>
      <c r="BK323">
        <v>0</v>
      </c>
      <c r="BL323">
        <v>0</v>
      </c>
      <c r="BM323">
        <v>0</v>
      </c>
      <c r="BN323">
        <v>0</v>
      </c>
      <c r="BO323">
        <v>0</v>
      </c>
      <c r="BP323">
        <v>0</v>
      </c>
      <c r="BQ323">
        <v>0</v>
      </c>
      <c r="BR323">
        <v>0</v>
      </c>
      <c r="BS323">
        <v>0</v>
      </c>
      <c r="BT323">
        <v>0</v>
      </c>
      <c r="BU323">
        <v>0</v>
      </c>
      <c r="BV323">
        <v>0</v>
      </c>
      <c r="BW323">
        <v>0</v>
      </c>
      <c r="BX323">
        <v>0</v>
      </c>
      <c r="BY323">
        <v>0</v>
      </c>
      <c r="BZ323">
        <v>0</v>
      </c>
      <c r="CA323">
        <v>0</v>
      </c>
      <c r="CB323">
        <v>0</v>
      </c>
    </row>
    <row r="324" spans="1:80" x14ac:dyDescent="0.2">
      <c r="A324">
        <v>0</v>
      </c>
      <c r="B324">
        <v>0</v>
      </c>
      <c r="C324">
        <v>0</v>
      </c>
      <c r="D324">
        <v>0</v>
      </c>
      <c r="E324">
        <v>0</v>
      </c>
      <c r="F324">
        <v>0</v>
      </c>
      <c r="G324">
        <v>0</v>
      </c>
      <c r="H324">
        <v>0</v>
      </c>
      <c r="I324">
        <v>0</v>
      </c>
      <c r="J324">
        <v>0</v>
      </c>
      <c r="K324">
        <v>0</v>
      </c>
      <c r="L324">
        <v>0</v>
      </c>
      <c r="M324">
        <v>0</v>
      </c>
      <c r="N324">
        <v>0</v>
      </c>
      <c r="O324">
        <v>0</v>
      </c>
      <c r="P324">
        <v>0</v>
      </c>
      <c r="Q324">
        <v>0</v>
      </c>
      <c r="R324">
        <v>0</v>
      </c>
      <c r="S324">
        <v>0</v>
      </c>
      <c r="T324">
        <v>0</v>
      </c>
      <c r="U324">
        <v>0</v>
      </c>
      <c r="V324">
        <v>0</v>
      </c>
      <c r="W324">
        <v>0</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v>0</v>
      </c>
      <c r="AU324">
        <v>0</v>
      </c>
      <c r="AV324">
        <v>0</v>
      </c>
      <c r="AW324">
        <v>0</v>
      </c>
      <c r="AX324">
        <v>0</v>
      </c>
      <c r="AY324">
        <v>0</v>
      </c>
      <c r="AZ324">
        <v>0</v>
      </c>
      <c r="BA324">
        <v>0</v>
      </c>
      <c r="BB324">
        <v>0</v>
      </c>
      <c r="BC324">
        <v>0</v>
      </c>
      <c r="BD324">
        <v>0</v>
      </c>
      <c r="BE324">
        <v>0</v>
      </c>
      <c r="BF324">
        <v>0</v>
      </c>
      <c r="BG324">
        <v>0</v>
      </c>
      <c r="BH324">
        <v>0</v>
      </c>
      <c r="BI324">
        <v>0</v>
      </c>
      <c r="BJ324">
        <v>0</v>
      </c>
      <c r="BK324">
        <v>0</v>
      </c>
      <c r="BL324">
        <v>0</v>
      </c>
      <c r="BM324">
        <v>0</v>
      </c>
      <c r="BN324">
        <v>0</v>
      </c>
      <c r="BO324">
        <v>0</v>
      </c>
      <c r="BP324">
        <v>0</v>
      </c>
      <c r="BQ324">
        <v>0</v>
      </c>
      <c r="BR324">
        <v>0</v>
      </c>
      <c r="BS324">
        <v>0</v>
      </c>
      <c r="BT324">
        <v>0</v>
      </c>
      <c r="BU324">
        <v>0</v>
      </c>
      <c r="BV324">
        <v>0</v>
      </c>
      <c r="BW324">
        <v>0</v>
      </c>
      <c r="BX324">
        <v>0</v>
      </c>
      <c r="BY324">
        <v>0</v>
      </c>
      <c r="BZ324">
        <v>0</v>
      </c>
      <c r="CA324">
        <v>0</v>
      </c>
      <c r="CB324">
        <v>0</v>
      </c>
    </row>
    <row r="325" spans="1:80" x14ac:dyDescent="0.2">
      <c r="A325">
        <v>0</v>
      </c>
      <c r="B325">
        <v>0</v>
      </c>
      <c r="C325">
        <v>0</v>
      </c>
      <c r="D325">
        <v>0</v>
      </c>
      <c r="E325">
        <v>0</v>
      </c>
      <c r="F325">
        <v>0</v>
      </c>
      <c r="G325">
        <v>0</v>
      </c>
      <c r="H325">
        <v>0</v>
      </c>
      <c r="I325">
        <v>0</v>
      </c>
      <c r="J325">
        <v>0</v>
      </c>
      <c r="K325">
        <v>0</v>
      </c>
      <c r="L325">
        <v>0</v>
      </c>
      <c r="M325">
        <v>0</v>
      </c>
      <c r="N325">
        <v>0</v>
      </c>
      <c r="O325">
        <v>0</v>
      </c>
      <c r="P325">
        <v>0</v>
      </c>
      <c r="Q325">
        <v>0</v>
      </c>
      <c r="R325">
        <v>0</v>
      </c>
      <c r="S325">
        <v>0</v>
      </c>
      <c r="T325">
        <v>0</v>
      </c>
      <c r="U325">
        <v>0</v>
      </c>
      <c r="V325">
        <v>0</v>
      </c>
      <c r="W325">
        <v>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v>0</v>
      </c>
      <c r="AS325">
        <v>0</v>
      </c>
      <c r="AT325">
        <v>0</v>
      </c>
      <c r="AU325">
        <v>0</v>
      </c>
      <c r="AV325">
        <v>0</v>
      </c>
      <c r="AW325">
        <v>0</v>
      </c>
      <c r="AX325">
        <v>0</v>
      </c>
      <c r="AY325">
        <v>0</v>
      </c>
      <c r="AZ325">
        <v>0</v>
      </c>
      <c r="BA325">
        <v>0</v>
      </c>
      <c r="BB325">
        <v>0</v>
      </c>
      <c r="BC325">
        <v>0</v>
      </c>
      <c r="BD325">
        <v>0</v>
      </c>
      <c r="BE325">
        <v>0</v>
      </c>
      <c r="BF325">
        <v>0</v>
      </c>
      <c r="BG325">
        <v>0</v>
      </c>
      <c r="BH325">
        <v>0</v>
      </c>
      <c r="BI325">
        <v>0</v>
      </c>
      <c r="BJ325">
        <v>0</v>
      </c>
      <c r="BK325">
        <v>0</v>
      </c>
      <c r="BL325">
        <v>0</v>
      </c>
      <c r="BM325">
        <v>0</v>
      </c>
      <c r="BN325">
        <v>0</v>
      </c>
      <c r="BO325">
        <v>0</v>
      </c>
      <c r="BP325">
        <v>0</v>
      </c>
      <c r="BQ325">
        <v>0</v>
      </c>
      <c r="BR325">
        <v>0</v>
      </c>
      <c r="BS325">
        <v>0</v>
      </c>
      <c r="BT325">
        <v>0</v>
      </c>
      <c r="BU325">
        <v>0</v>
      </c>
      <c r="BV325">
        <v>0</v>
      </c>
      <c r="BW325">
        <v>0</v>
      </c>
      <c r="BX325">
        <v>0</v>
      </c>
      <c r="BY325">
        <v>0</v>
      </c>
      <c r="BZ325">
        <v>0</v>
      </c>
      <c r="CA325">
        <v>0</v>
      </c>
      <c r="CB325">
        <v>0</v>
      </c>
    </row>
    <row r="326" spans="1:80" x14ac:dyDescent="0.2">
      <c r="A326">
        <v>0</v>
      </c>
      <c r="B326">
        <v>0</v>
      </c>
      <c r="C326">
        <v>0</v>
      </c>
      <c r="D326">
        <v>0</v>
      </c>
      <c r="E326">
        <v>0</v>
      </c>
      <c r="F326">
        <v>0</v>
      </c>
      <c r="G326">
        <v>0</v>
      </c>
      <c r="H326">
        <v>0</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v>0</v>
      </c>
      <c r="AY326">
        <v>0</v>
      </c>
      <c r="AZ326">
        <v>0</v>
      </c>
      <c r="BA326">
        <v>0</v>
      </c>
      <c r="BB326">
        <v>0</v>
      </c>
      <c r="BC326">
        <v>0</v>
      </c>
      <c r="BD326">
        <v>0</v>
      </c>
      <c r="BE326">
        <v>0</v>
      </c>
      <c r="BF326">
        <v>0</v>
      </c>
      <c r="BG326">
        <v>0</v>
      </c>
      <c r="BH326">
        <v>0</v>
      </c>
      <c r="BI326">
        <v>0</v>
      </c>
      <c r="BJ326">
        <v>0</v>
      </c>
      <c r="BK326">
        <v>0</v>
      </c>
      <c r="BL326">
        <v>0</v>
      </c>
      <c r="BM326">
        <v>0</v>
      </c>
      <c r="BN326">
        <v>0</v>
      </c>
      <c r="BO326">
        <v>0</v>
      </c>
      <c r="BP326">
        <v>0</v>
      </c>
      <c r="BQ326">
        <v>0</v>
      </c>
      <c r="BR326">
        <v>0</v>
      </c>
      <c r="BS326">
        <v>0</v>
      </c>
      <c r="BT326">
        <v>0</v>
      </c>
      <c r="BU326">
        <v>0</v>
      </c>
      <c r="BV326">
        <v>0</v>
      </c>
      <c r="BW326">
        <v>0</v>
      </c>
      <c r="BX326">
        <v>0</v>
      </c>
      <c r="BY326">
        <v>0</v>
      </c>
      <c r="BZ326">
        <v>0</v>
      </c>
      <c r="CA326">
        <v>0</v>
      </c>
      <c r="CB326">
        <v>0</v>
      </c>
    </row>
    <row r="327" spans="1:80" x14ac:dyDescent="0.2">
      <c r="A327">
        <v>0</v>
      </c>
      <c r="B327">
        <v>0</v>
      </c>
      <c r="C327">
        <v>0</v>
      </c>
      <c r="D327">
        <v>0</v>
      </c>
      <c r="E327">
        <v>0</v>
      </c>
      <c r="F327">
        <v>0</v>
      </c>
      <c r="G327">
        <v>0</v>
      </c>
      <c r="H327">
        <v>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v>0</v>
      </c>
      <c r="BC327">
        <v>0</v>
      </c>
      <c r="BD327">
        <v>0</v>
      </c>
      <c r="BE327">
        <v>0</v>
      </c>
      <c r="BF327">
        <v>0</v>
      </c>
      <c r="BG327">
        <v>0</v>
      </c>
      <c r="BH327">
        <v>0</v>
      </c>
      <c r="BI327">
        <v>0</v>
      </c>
      <c r="BJ327">
        <v>0</v>
      </c>
      <c r="BK327">
        <v>0</v>
      </c>
      <c r="BL327">
        <v>0</v>
      </c>
      <c r="BM327">
        <v>0</v>
      </c>
      <c r="BN327">
        <v>0</v>
      </c>
      <c r="BO327">
        <v>0</v>
      </c>
      <c r="BP327">
        <v>0</v>
      </c>
      <c r="BQ327">
        <v>0</v>
      </c>
      <c r="BR327">
        <v>0</v>
      </c>
      <c r="BS327">
        <v>0</v>
      </c>
      <c r="BT327">
        <v>0</v>
      </c>
      <c r="BU327">
        <v>0</v>
      </c>
      <c r="BV327">
        <v>0</v>
      </c>
      <c r="BW327">
        <v>0</v>
      </c>
      <c r="BX327">
        <v>0</v>
      </c>
      <c r="BY327">
        <v>0</v>
      </c>
      <c r="BZ327">
        <v>0</v>
      </c>
      <c r="CA327">
        <v>0</v>
      </c>
      <c r="CB327">
        <v>0</v>
      </c>
    </row>
    <row r="328" spans="1:80" x14ac:dyDescent="0.2">
      <c r="A328">
        <v>0</v>
      </c>
      <c r="B328">
        <v>0</v>
      </c>
      <c r="C328">
        <v>0</v>
      </c>
      <c r="D328">
        <v>0</v>
      </c>
      <c r="E328">
        <v>0</v>
      </c>
      <c r="F328">
        <v>0</v>
      </c>
      <c r="G328">
        <v>0</v>
      </c>
      <c r="H328">
        <v>0</v>
      </c>
      <c r="I328">
        <v>0</v>
      </c>
      <c r="J328">
        <v>0</v>
      </c>
      <c r="K328">
        <v>0</v>
      </c>
      <c r="L328">
        <v>0</v>
      </c>
      <c r="M328">
        <v>0</v>
      </c>
      <c r="N328">
        <v>0</v>
      </c>
      <c r="O328">
        <v>0</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v>0</v>
      </c>
      <c r="AY328">
        <v>0</v>
      </c>
      <c r="AZ328">
        <v>0</v>
      </c>
      <c r="BA328">
        <v>0</v>
      </c>
      <c r="BB328">
        <v>0</v>
      </c>
      <c r="BC328">
        <v>0</v>
      </c>
      <c r="BD328">
        <v>0</v>
      </c>
      <c r="BE328">
        <v>0</v>
      </c>
      <c r="BF328">
        <v>0</v>
      </c>
      <c r="BG328">
        <v>0</v>
      </c>
      <c r="BH328">
        <v>0</v>
      </c>
      <c r="BI328">
        <v>0</v>
      </c>
      <c r="BJ328">
        <v>0</v>
      </c>
      <c r="BK328">
        <v>0</v>
      </c>
      <c r="BL328">
        <v>0</v>
      </c>
      <c r="BM328">
        <v>0</v>
      </c>
      <c r="BN328">
        <v>0</v>
      </c>
      <c r="BO328">
        <v>0</v>
      </c>
      <c r="BP328">
        <v>0</v>
      </c>
      <c r="BQ328">
        <v>0</v>
      </c>
      <c r="BR328">
        <v>0</v>
      </c>
      <c r="BS328">
        <v>0</v>
      </c>
      <c r="BT328">
        <v>0</v>
      </c>
      <c r="BU328">
        <v>0</v>
      </c>
      <c r="BV328">
        <v>0</v>
      </c>
      <c r="BW328">
        <v>0</v>
      </c>
      <c r="BX328">
        <v>0</v>
      </c>
      <c r="BY328">
        <v>0</v>
      </c>
      <c r="BZ328">
        <v>0</v>
      </c>
      <c r="CA328">
        <v>0</v>
      </c>
      <c r="CB328">
        <v>0</v>
      </c>
    </row>
    <row r="329" spans="1:80" x14ac:dyDescent="0.2">
      <c r="A329">
        <v>0</v>
      </c>
      <c r="B329">
        <v>0</v>
      </c>
      <c r="C329">
        <v>0</v>
      </c>
      <c r="D329">
        <v>0</v>
      </c>
      <c r="E329">
        <v>0</v>
      </c>
      <c r="F329">
        <v>0</v>
      </c>
      <c r="G329">
        <v>0</v>
      </c>
      <c r="H329">
        <v>0</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v>0</v>
      </c>
      <c r="AT329">
        <v>0</v>
      </c>
      <c r="AU329">
        <v>0</v>
      </c>
      <c r="AV329">
        <v>0</v>
      </c>
      <c r="AW329">
        <v>0</v>
      </c>
      <c r="AX329">
        <v>0</v>
      </c>
      <c r="AY329">
        <v>0</v>
      </c>
      <c r="AZ329">
        <v>0</v>
      </c>
      <c r="BA329">
        <v>0</v>
      </c>
      <c r="BB329">
        <v>0</v>
      </c>
      <c r="BC329">
        <v>0</v>
      </c>
      <c r="BD329">
        <v>0</v>
      </c>
      <c r="BE329">
        <v>0</v>
      </c>
      <c r="BF329">
        <v>0</v>
      </c>
      <c r="BG329">
        <v>0</v>
      </c>
      <c r="BH329">
        <v>0</v>
      </c>
      <c r="BI329">
        <v>0</v>
      </c>
      <c r="BJ329">
        <v>0</v>
      </c>
      <c r="BK329">
        <v>0</v>
      </c>
      <c r="BL329">
        <v>0</v>
      </c>
      <c r="BM329">
        <v>0</v>
      </c>
      <c r="BN329">
        <v>0</v>
      </c>
      <c r="BO329">
        <v>0</v>
      </c>
      <c r="BP329">
        <v>0</v>
      </c>
      <c r="BQ329">
        <v>0</v>
      </c>
      <c r="BR329">
        <v>0</v>
      </c>
      <c r="BS329">
        <v>0</v>
      </c>
      <c r="BT329">
        <v>0</v>
      </c>
      <c r="BU329">
        <v>0</v>
      </c>
      <c r="BV329">
        <v>0</v>
      </c>
      <c r="BW329">
        <v>0</v>
      </c>
      <c r="BX329">
        <v>0</v>
      </c>
      <c r="BY329">
        <v>0</v>
      </c>
      <c r="BZ329">
        <v>0</v>
      </c>
      <c r="CA329">
        <v>0</v>
      </c>
      <c r="CB329">
        <v>0</v>
      </c>
    </row>
    <row r="330" spans="1:80" x14ac:dyDescent="0.2">
      <c r="A330">
        <v>0</v>
      </c>
      <c r="B330">
        <v>0</v>
      </c>
      <c r="C330">
        <v>0</v>
      </c>
      <c r="D330">
        <v>0</v>
      </c>
      <c r="E330">
        <v>0</v>
      </c>
      <c r="F330">
        <v>0</v>
      </c>
      <c r="G330">
        <v>0</v>
      </c>
      <c r="H330">
        <v>0</v>
      </c>
      <c r="I330">
        <v>0</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c r="AY330">
        <v>0</v>
      </c>
      <c r="AZ330">
        <v>0</v>
      </c>
      <c r="BA330">
        <v>0</v>
      </c>
      <c r="BB330">
        <v>0</v>
      </c>
      <c r="BC330">
        <v>0</v>
      </c>
      <c r="BD330">
        <v>0</v>
      </c>
      <c r="BE330">
        <v>0</v>
      </c>
      <c r="BF330">
        <v>0</v>
      </c>
      <c r="BG330">
        <v>0</v>
      </c>
      <c r="BH330">
        <v>0</v>
      </c>
      <c r="BI330">
        <v>0</v>
      </c>
      <c r="BJ330">
        <v>0</v>
      </c>
      <c r="BK330">
        <v>0</v>
      </c>
      <c r="BL330">
        <v>0</v>
      </c>
      <c r="BM330">
        <v>0</v>
      </c>
      <c r="BN330">
        <v>0</v>
      </c>
      <c r="BO330">
        <v>0</v>
      </c>
      <c r="BP330">
        <v>0</v>
      </c>
      <c r="BQ330">
        <v>0</v>
      </c>
      <c r="BR330">
        <v>0</v>
      </c>
      <c r="BS330">
        <v>0</v>
      </c>
      <c r="BT330">
        <v>0</v>
      </c>
      <c r="BU330">
        <v>0</v>
      </c>
      <c r="BV330">
        <v>0</v>
      </c>
      <c r="BW330">
        <v>0</v>
      </c>
      <c r="BX330">
        <v>0</v>
      </c>
      <c r="BY330">
        <v>0</v>
      </c>
      <c r="BZ330">
        <v>0</v>
      </c>
      <c r="CA330">
        <v>0</v>
      </c>
      <c r="CB330">
        <v>0</v>
      </c>
    </row>
    <row r="331" spans="1:80" x14ac:dyDescent="0.2">
      <c r="A331">
        <v>0</v>
      </c>
      <c r="B331">
        <v>0</v>
      </c>
      <c r="C331">
        <v>0</v>
      </c>
      <c r="D331">
        <v>0</v>
      </c>
      <c r="E331">
        <v>0</v>
      </c>
      <c r="F331">
        <v>0</v>
      </c>
      <c r="G331">
        <v>0</v>
      </c>
      <c r="H331">
        <v>0</v>
      </c>
      <c r="I331">
        <v>0</v>
      </c>
      <c r="J331">
        <v>0</v>
      </c>
      <c r="K331">
        <v>0</v>
      </c>
      <c r="L331">
        <v>0</v>
      </c>
      <c r="M331">
        <v>0</v>
      </c>
      <c r="N331">
        <v>0</v>
      </c>
      <c r="O331">
        <v>0</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v>0</v>
      </c>
      <c r="BI331">
        <v>0</v>
      </c>
      <c r="BJ331">
        <v>0</v>
      </c>
      <c r="BK331">
        <v>0</v>
      </c>
      <c r="BL331">
        <v>0</v>
      </c>
      <c r="BM331">
        <v>0</v>
      </c>
      <c r="BN331">
        <v>0</v>
      </c>
      <c r="BO331">
        <v>0</v>
      </c>
      <c r="BP331">
        <v>0</v>
      </c>
      <c r="BQ331">
        <v>0</v>
      </c>
      <c r="BR331">
        <v>0</v>
      </c>
      <c r="BS331">
        <v>0</v>
      </c>
      <c r="BT331">
        <v>0</v>
      </c>
      <c r="BU331">
        <v>0</v>
      </c>
      <c r="BV331">
        <v>0</v>
      </c>
      <c r="BW331">
        <v>0</v>
      </c>
      <c r="BX331">
        <v>0</v>
      </c>
      <c r="BY331">
        <v>0</v>
      </c>
      <c r="BZ331">
        <v>0</v>
      </c>
      <c r="CA331">
        <v>0</v>
      </c>
      <c r="CB331">
        <v>0</v>
      </c>
    </row>
    <row r="332" spans="1:80" x14ac:dyDescent="0.2">
      <c r="A332">
        <v>0</v>
      </c>
      <c r="B332">
        <v>0</v>
      </c>
      <c r="C332">
        <v>0</v>
      </c>
      <c r="D332">
        <v>0</v>
      </c>
      <c r="E332">
        <v>0</v>
      </c>
      <c r="F332">
        <v>0</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0</v>
      </c>
      <c r="BG332">
        <v>0</v>
      </c>
      <c r="BH332">
        <v>0</v>
      </c>
      <c r="BI332">
        <v>0</v>
      </c>
      <c r="BJ332">
        <v>0</v>
      </c>
      <c r="BK332">
        <v>0</v>
      </c>
      <c r="BL332">
        <v>0</v>
      </c>
      <c r="BM332">
        <v>0</v>
      </c>
      <c r="BN332">
        <v>0</v>
      </c>
      <c r="BO332">
        <v>0</v>
      </c>
      <c r="BP332">
        <v>0</v>
      </c>
      <c r="BQ332">
        <v>0</v>
      </c>
      <c r="BR332">
        <v>0</v>
      </c>
      <c r="BS332">
        <v>0</v>
      </c>
      <c r="BT332">
        <v>0</v>
      </c>
      <c r="BU332">
        <v>0</v>
      </c>
      <c r="BV332">
        <v>0</v>
      </c>
      <c r="BW332">
        <v>0</v>
      </c>
      <c r="BX332">
        <v>0</v>
      </c>
      <c r="BY332">
        <v>0</v>
      </c>
      <c r="BZ332">
        <v>0</v>
      </c>
      <c r="CA332">
        <v>0</v>
      </c>
      <c r="CB332">
        <v>0</v>
      </c>
    </row>
    <row r="333" spans="1:80" x14ac:dyDescent="0.2">
      <c r="A333">
        <v>0</v>
      </c>
      <c r="B333">
        <v>0</v>
      </c>
      <c r="C333">
        <v>0</v>
      </c>
      <c r="D333">
        <v>0</v>
      </c>
      <c r="E333">
        <v>0</v>
      </c>
      <c r="F333">
        <v>0</v>
      </c>
      <c r="G333">
        <v>0</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c r="BD333">
        <v>0</v>
      </c>
      <c r="BE333">
        <v>0</v>
      </c>
      <c r="BF333">
        <v>0</v>
      </c>
      <c r="BG333">
        <v>0</v>
      </c>
      <c r="BH333">
        <v>0</v>
      </c>
      <c r="BI333">
        <v>0</v>
      </c>
      <c r="BJ333">
        <v>0</v>
      </c>
      <c r="BK333">
        <v>0</v>
      </c>
      <c r="BL333">
        <v>0</v>
      </c>
      <c r="BM333">
        <v>0</v>
      </c>
      <c r="BN333">
        <v>0</v>
      </c>
      <c r="BO333">
        <v>0</v>
      </c>
      <c r="BP333">
        <v>0</v>
      </c>
      <c r="BQ333">
        <v>0</v>
      </c>
      <c r="BR333">
        <v>0</v>
      </c>
      <c r="BS333">
        <v>0</v>
      </c>
      <c r="BT333">
        <v>0</v>
      </c>
      <c r="BU333">
        <v>0</v>
      </c>
      <c r="BV333">
        <v>0</v>
      </c>
      <c r="BW333">
        <v>0</v>
      </c>
      <c r="BX333">
        <v>0</v>
      </c>
      <c r="BY333">
        <v>0</v>
      </c>
      <c r="BZ333">
        <v>0</v>
      </c>
      <c r="CA333">
        <v>0</v>
      </c>
      <c r="CB333">
        <v>0</v>
      </c>
    </row>
    <row r="334" spans="1:80" x14ac:dyDescent="0.2">
      <c r="A334">
        <v>0</v>
      </c>
      <c r="B334">
        <v>0</v>
      </c>
      <c r="C334">
        <v>0</v>
      </c>
      <c r="D334">
        <v>0</v>
      </c>
      <c r="E334">
        <v>0</v>
      </c>
      <c r="F334">
        <v>0</v>
      </c>
      <c r="G334">
        <v>0</v>
      </c>
      <c r="H334">
        <v>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v>0</v>
      </c>
      <c r="AW334">
        <v>0</v>
      </c>
      <c r="AX334">
        <v>0</v>
      </c>
      <c r="AY334">
        <v>0</v>
      </c>
      <c r="AZ334">
        <v>0</v>
      </c>
      <c r="BA334">
        <v>0</v>
      </c>
      <c r="BB334">
        <v>0</v>
      </c>
      <c r="BC334">
        <v>0</v>
      </c>
      <c r="BD334">
        <v>0</v>
      </c>
      <c r="BE334">
        <v>0</v>
      </c>
      <c r="BF334">
        <v>0</v>
      </c>
      <c r="BG334">
        <v>0</v>
      </c>
      <c r="BH334">
        <v>0</v>
      </c>
      <c r="BI334">
        <v>0</v>
      </c>
      <c r="BJ334">
        <v>0</v>
      </c>
      <c r="BK334">
        <v>0</v>
      </c>
      <c r="BL334">
        <v>0</v>
      </c>
      <c r="BM334">
        <v>0</v>
      </c>
      <c r="BN334">
        <v>0</v>
      </c>
      <c r="BO334">
        <v>0</v>
      </c>
      <c r="BP334">
        <v>0</v>
      </c>
      <c r="BQ334">
        <v>0</v>
      </c>
      <c r="BR334">
        <v>0</v>
      </c>
      <c r="BS334">
        <v>0</v>
      </c>
      <c r="BT334">
        <v>0</v>
      </c>
      <c r="BU334">
        <v>0</v>
      </c>
      <c r="BV334">
        <v>0</v>
      </c>
      <c r="BW334">
        <v>0</v>
      </c>
      <c r="BX334">
        <v>0</v>
      </c>
      <c r="BY334">
        <v>0</v>
      </c>
      <c r="BZ334">
        <v>0</v>
      </c>
      <c r="CA334">
        <v>0</v>
      </c>
      <c r="CB334">
        <v>0</v>
      </c>
    </row>
    <row r="335" spans="1:80" x14ac:dyDescent="0.2">
      <c r="A335">
        <v>0</v>
      </c>
      <c r="B335">
        <v>0</v>
      </c>
      <c r="C335">
        <v>0</v>
      </c>
      <c r="D335">
        <v>0</v>
      </c>
      <c r="E335">
        <v>0</v>
      </c>
      <c r="F335">
        <v>0</v>
      </c>
      <c r="G335">
        <v>0</v>
      </c>
      <c r="H335">
        <v>0</v>
      </c>
      <c r="I335">
        <v>0</v>
      </c>
      <c r="J335">
        <v>0</v>
      </c>
      <c r="K335">
        <v>0</v>
      </c>
      <c r="L335">
        <v>0</v>
      </c>
      <c r="M335">
        <v>0</v>
      </c>
      <c r="N335">
        <v>0</v>
      </c>
      <c r="O335">
        <v>0</v>
      </c>
      <c r="P335">
        <v>0</v>
      </c>
      <c r="Q335">
        <v>0</v>
      </c>
      <c r="R335">
        <v>0</v>
      </c>
      <c r="S335">
        <v>0</v>
      </c>
      <c r="T335">
        <v>0</v>
      </c>
      <c r="U335">
        <v>0</v>
      </c>
      <c r="V335">
        <v>0</v>
      </c>
      <c r="W335">
        <v>0</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v>0</v>
      </c>
      <c r="AW335">
        <v>0</v>
      </c>
      <c r="AX335">
        <v>0</v>
      </c>
      <c r="AY335">
        <v>0</v>
      </c>
      <c r="AZ335">
        <v>0</v>
      </c>
      <c r="BA335">
        <v>0</v>
      </c>
      <c r="BB335">
        <v>0</v>
      </c>
      <c r="BC335">
        <v>0</v>
      </c>
      <c r="BD335">
        <v>0</v>
      </c>
      <c r="BE335">
        <v>0</v>
      </c>
      <c r="BF335">
        <v>0</v>
      </c>
      <c r="BG335">
        <v>0</v>
      </c>
      <c r="BH335">
        <v>0</v>
      </c>
      <c r="BI335">
        <v>0</v>
      </c>
      <c r="BJ335">
        <v>0</v>
      </c>
      <c r="BK335">
        <v>0</v>
      </c>
      <c r="BL335">
        <v>0</v>
      </c>
      <c r="BM335">
        <v>0</v>
      </c>
      <c r="BN335">
        <v>0</v>
      </c>
      <c r="BO335">
        <v>0</v>
      </c>
      <c r="BP335">
        <v>0</v>
      </c>
      <c r="BQ335">
        <v>0</v>
      </c>
      <c r="BR335">
        <v>0</v>
      </c>
      <c r="BS335">
        <v>0</v>
      </c>
      <c r="BT335">
        <v>0</v>
      </c>
      <c r="BU335">
        <v>0</v>
      </c>
      <c r="BV335">
        <v>0</v>
      </c>
      <c r="BW335">
        <v>0</v>
      </c>
      <c r="BX335">
        <v>0</v>
      </c>
      <c r="BY335">
        <v>0</v>
      </c>
      <c r="BZ335">
        <v>0</v>
      </c>
      <c r="CA335">
        <v>0</v>
      </c>
      <c r="CB335">
        <v>0</v>
      </c>
    </row>
    <row r="336" spans="1:80" x14ac:dyDescent="0.2">
      <c r="A336">
        <v>0</v>
      </c>
      <c r="B336">
        <v>0</v>
      </c>
      <c r="C336">
        <v>0</v>
      </c>
      <c r="D336">
        <v>0</v>
      </c>
      <c r="E336">
        <v>0</v>
      </c>
      <c r="F336">
        <v>0</v>
      </c>
      <c r="G336">
        <v>0</v>
      </c>
      <c r="H336">
        <v>0</v>
      </c>
      <c r="I336">
        <v>0</v>
      </c>
      <c r="J336">
        <v>0</v>
      </c>
      <c r="K336">
        <v>0</v>
      </c>
      <c r="L336">
        <v>0</v>
      </c>
      <c r="M336">
        <v>0</v>
      </c>
      <c r="N336">
        <v>0</v>
      </c>
      <c r="O336">
        <v>0</v>
      </c>
      <c r="P336">
        <v>0</v>
      </c>
      <c r="Q336">
        <v>0</v>
      </c>
      <c r="R336">
        <v>0</v>
      </c>
      <c r="S336">
        <v>0</v>
      </c>
      <c r="T336">
        <v>0</v>
      </c>
      <c r="U336">
        <v>0</v>
      </c>
      <c r="V336">
        <v>0</v>
      </c>
      <c r="W336">
        <v>0</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0</v>
      </c>
      <c r="BJ336">
        <v>0</v>
      </c>
      <c r="BK336">
        <v>0</v>
      </c>
      <c r="BL336">
        <v>0</v>
      </c>
      <c r="BM336">
        <v>0</v>
      </c>
      <c r="BN336">
        <v>0</v>
      </c>
      <c r="BO336">
        <v>0</v>
      </c>
      <c r="BP336">
        <v>0</v>
      </c>
      <c r="BQ336">
        <v>0</v>
      </c>
      <c r="BR336">
        <v>0</v>
      </c>
      <c r="BS336">
        <v>0</v>
      </c>
      <c r="BT336">
        <v>0</v>
      </c>
      <c r="BU336">
        <v>0</v>
      </c>
      <c r="BV336">
        <v>0</v>
      </c>
      <c r="BW336">
        <v>0</v>
      </c>
      <c r="BX336">
        <v>0</v>
      </c>
      <c r="BY336">
        <v>0</v>
      </c>
      <c r="BZ336">
        <v>0</v>
      </c>
      <c r="CA336">
        <v>0</v>
      </c>
      <c r="CB336">
        <v>0</v>
      </c>
    </row>
    <row r="338" spans="1:80" x14ac:dyDescent="0.2">
      <c r="A338" s="40" t="s">
        <v>592</v>
      </c>
    </row>
    <row r="339" spans="1:80" x14ac:dyDescent="0.2">
      <c r="A339">
        <f t="array" ref="A339:CB418">MMULT('_motor'!$A$257:$CB$336,'_motor'!$A$11:$CB$90)</f>
      </c>
      <c r="B339">
        <v>0</v>
      </c>
      <c r="C339">
        <v>0</v>
      </c>
      <c r="D339">
        <v>0</v>
      </c>
      <c r="E339">
        <v>0</v>
      </c>
      <c r="F339">
        <v>0</v>
      </c>
      <c r="G339">
        <v>0</v>
      </c>
      <c r="H339">
        <v>0</v>
      </c>
      <c r="I339">
        <v>0</v>
      </c>
      <c r="J339">
        <v>0</v>
      </c>
      <c r="K339">
        <v>0</v>
      </c>
      <c r="L339">
        <v>0</v>
      </c>
      <c r="M339">
        <v>0</v>
      </c>
      <c r="N339">
        <v>0</v>
      </c>
      <c r="O339">
        <v>0</v>
      </c>
      <c r="P339">
        <v>0</v>
      </c>
      <c r="Q339">
        <v>0</v>
      </c>
      <c r="R339">
        <v>0</v>
      </c>
      <c r="S339">
        <v>0</v>
      </c>
      <c r="T339">
        <v>0</v>
      </c>
      <c r="U339">
        <v>0</v>
      </c>
      <c r="V339">
        <v>0</v>
      </c>
      <c r="W339">
        <v>0</v>
      </c>
      <c r="X339">
        <v>0</v>
      </c>
      <c r="Y339">
        <v>0</v>
      </c>
      <c r="Z339">
        <v>0</v>
      </c>
      <c r="AA339">
        <v>0</v>
      </c>
      <c r="AB339">
        <v>0</v>
      </c>
      <c r="AC339">
        <v>0</v>
      </c>
      <c r="AD339">
        <v>0</v>
      </c>
      <c r="AE339">
        <v>0</v>
      </c>
      <c r="AF339">
        <v>0</v>
      </c>
      <c r="AG339">
        <v>0</v>
      </c>
      <c r="AH339">
        <v>0</v>
      </c>
      <c r="AI339">
        <v>0</v>
      </c>
      <c r="AJ339">
        <v>0</v>
      </c>
      <c r="AK339">
        <v>0</v>
      </c>
      <c r="AL339">
        <v>0</v>
      </c>
      <c r="AM339">
        <v>0</v>
      </c>
      <c r="AN339">
        <v>0</v>
      </c>
      <c r="AO339">
        <v>0</v>
      </c>
      <c r="AP339">
        <v>0</v>
      </c>
      <c r="AQ339">
        <v>0</v>
      </c>
      <c r="AR339">
        <v>0</v>
      </c>
      <c r="AS339">
        <v>0</v>
      </c>
      <c r="AT339">
        <v>0</v>
      </c>
      <c r="AU339">
        <v>0</v>
      </c>
      <c r="AV339">
        <v>0</v>
      </c>
      <c r="AW339">
        <v>0</v>
      </c>
      <c r="AX339">
        <v>0</v>
      </c>
      <c r="AY339">
        <v>0</v>
      </c>
      <c r="AZ339">
        <v>0</v>
      </c>
      <c r="BA339">
        <v>0</v>
      </c>
      <c r="BB339">
        <v>0</v>
      </c>
      <c r="BC339">
        <v>0</v>
      </c>
      <c r="BD339">
        <v>0</v>
      </c>
      <c r="BE339">
        <v>0</v>
      </c>
      <c r="BF339">
        <v>0</v>
      </c>
      <c r="BG339">
        <v>0</v>
      </c>
      <c r="BH339">
        <v>0</v>
      </c>
      <c r="BI339">
        <v>0</v>
      </c>
      <c r="BJ339">
        <v>0</v>
      </c>
      <c r="BK339">
        <v>0</v>
      </c>
      <c r="BL339">
        <v>0</v>
      </c>
      <c r="BM339">
        <v>0</v>
      </c>
      <c r="BN339">
        <v>0</v>
      </c>
      <c r="BO339">
        <v>0</v>
      </c>
      <c r="BP339">
        <v>0</v>
      </c>
      <c r="BQ339">
        <v>0</v>
      </c>
      <c r="BR339">
        <v>0</v>
      </c>
      <c r="BS339">
        <v>0</v>
      </c>
      <c r="BT339">
        <v>0</v>
      </c>
      <c r="BU339">
        <v>0</v>
      </c>
      <c r="BV339">
        <v>0</v>
      </c>
      <c r="BW339">
        <v>0</v>
      </c>
      <c r="BX339">
        <v>0</v>
      </c>
      <c r="BY339">
        <v>0</v>
      </c>
      <c r="BZ339">
        <v>0</v>
      </c>
      <c r="CA339">
        <v>0</v>
      </c>
      <c r="CB339">
        <v>0</v>
      </c>
    </row>
    <row r="340" spans="1:80" x14ac:dyDescent="0.2">
      <c r="A340">
        <v>0</v>
      </c>
      <c r="B340">
        <v>0</v>
      </c>
      <c r="C340">
        <v>0</v>
      </c>
      <c r="D340">
        <v>0</v>
      </c>
      <c r="E340">
        <v>0</v>
      </c>
      <c r="F340">
        <v>0</v>
      </c>
      <c r="G340">
        <v>0</v>
      </c>
      <c r="H340">
        <v>0</v>
      </c>
      <c r="I340">
        <v>0</v>
      </c>
      <c r="J340">
        <v>0</v>
      </c>
      <c r="K340">
        <v>0</v>
      </c>
      <c r="L340">
        <v>0</v>
      </c>
      <c r="M340">
        <v>0</v>
      </c>
      <c r="N340">
        <v>0</v>
      </c>
      <c r="O340">
        <v>0</v>
      </c>
      <c r="P340">
        <v>0</v>
      </c>
      <c r="Q340">
        <v>0</v>
      </c>
      <c r="R340">
        <v>0</v>
      </c>
      <c r="S340">
        <v>0</v>
      </c>
      <c r="T340">
        <v>0</v>
      </c>
      <c r="U340">
        <v>0</v>
      </c>
      <c r="V340">
        <v>0</v>
      </c>
      <c r="W340">
        <v>0</v>
      </c>
      <c r="X340">
        <v>0</v>
      </c>
      <c r="Y340">
        <v>0</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0</v>
      </c>
      <c r="BA340">
        <v>0</v>
      </c>
      <c r="BB340">
        <v>0</v>
      </c>
      <c r="BC340">
        <v>0</v>
      </c>
      <c r="BD340">
        <v>0</v>
      </c>
      <c r="BE340">
        <v>0</v>
      </c>
      <c r="BF340">
        <v>0</v>
      </c>
      <c r="BG340">
        <v>0</v>
      </c>
      <c r="BH340">
        <v>0</v>
      </c>
      <c r="BI340">
        <v>0</v>
      </c>
      <c r="BJ340">
        <v>0</v>
      </c>
      <c r="BK340">
        <v>0</v>
      </c>
      <c r="BL340">
        <v>0</v>
      </c>
      <c r="BM340">
        <v>0</v>
      </c>
      <c r="BN340">
        <v>0</v>
      </c>
      <c r="BO340">
        <v>0</v>
      </c>
      <c r="BP340">
        <v>0</v>
      </c>
      <c r="BQ340">
        <v>0</v>
      </c>
      <c r="BR340">
        <v>0</v>
      </c>
      <c r="BS340">
        <v>0</v>
      </c>
      <c r="BT340">
        <v>0</v>
      </c>
      <c r="BU340">
        <v>0</v>
      </c>
      <c r="BV340">
        <v>0</v>
      </c>
      <c r="BW340">
        <v>0</v>
      </c>
      <c r="BX340">
        <v>0</v>
      </c>
      <c r="BY340">
        <v>0</v>
      </c>
      <c r="BZ340">
        <v>0</v>
      </c>
      <c r="CA340">
        <v>0</v>
      </c>
      <c r="CB340">
        <v>0</v>
      </c>
    </row>
    <row r="341" spans="1:80" x14ac:dyDescent="0.2">
      <c r="A341">
        <v>0</v>
      </c>
      <c r="B341">
        <v>0</v>
      </c>
      <c r="C341">
        <v>0</v>
      </c>
      <c r="D341">
        <v>0</v>
      </c>
      <c r="E341">
        <v>0</v>
      </c>
      <c r="F341">
        <v>0</v>
      </c>
      <c r="G341">
        <v>0</v>
      </c>
      <c r="H341">
        <v>0</v>
      </c>
      <c r="I341">
        <v>0</v>
      </c>
      <c r="J341">
        <v>0</v>
      </c>
      <c r="K341">
        <v>0</v>
      </c>
      <c r="L341">
        <v>0</v>
      </c>
      <c r="M341">
        <v>0</v>
      </c>
      <c r="N341">
        <v>0</v>
      </c>
      <c r="O341">
        <v>0</v>
      </c>
      <c r="P341">
        <v>0</v>
      </c>
      <c r="Q341">
        <v>0</v>
      </c>
      <c r="R341">
        <v>0</v>
      </c>
      <c r="S341">
        <v>0</v>
      </c>
      <c r="T341">
        <v>0</v>
      </c>
      <c r="U341">
        <v>0</v>
      </c>
      <c r="V341">
        <v>0</v>
      </c>
      <c r="W341">
        <v>0</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v>0</v>
      </c>
      <c r="BI341">
        <v>0</v>
      </c>
      <c r="BJ341">
        <v>0</v>
      </c>
      <c r="BK341">
        <v>0</v>
      </c>
      <c r="BL341">
        <v>0</v>
      </c>
      <c r="BM341">
        <v>0</v>
      </c>
      <c r="BN341">
        <v>0</v>
      </c>
      <c r="BO341">
        <v>0</v>
      </c>
      <c r="BP341">
        <v>0</v>
      </c>
      <c r="BQ341">
        <v>0</v>
      </c>
      <c r="BR341">
        <v>0</v>
      </c>
      <c r="BS341">
        <v>0</v>
      </c>
      <c r="BT341">
        <v>0</v>
      </c>
      <c r="BU341">
        <v>0</v>
      </c>
      <c r="BV341">
        <v>0</v>
      </c>
      <c r="BW341">
        <v>0</v>
      </c>
      <c r="BX341">
        <v>0</v>
      </c>
      <c r="BY341">
        <v>0</v>
      </c>
      <c r="BZ341">
        <v>0</v>
      </c>
      <c r="CA341">
        <v>0</v>
      </c>
      <c r="CB341">
        <v>0</v>
      </c>
    </row>
    <row r="342" spans="1:80" x14ac:dyDescent="0.2">
      <c r="A342">
        <v>0</v>
      </c>
      <c r="B342">
        <v>0</v>
      </c>
      <c r="C342">
        <v>0</v>
      </c>
      <c r="D342">
        <v>0</v>
      </c>
      <c r="E342">
        <v>0</v>
      </c>
      <c r="F342">
        <v>0</v>
      </c>
      <c r="G342">
        <v>0</v>
      </c>
      <c r="H342">
        <v>0</v>
      </c>
      <c r="I342">
        <v>0</v>
      </c>
      <c r="J342">
        <v>0</v>
      </c>
      <c r="K342">
        <v>0</v>
      </c>
      <c r="L342">
        <v>0</v>
      </c>
      <c r="M342">
        <v>0</v>
      </c>
      <c r="N342">
        <v>0</v>
      </c>
      <c r="O342">
        <v>0</v>
      </c>
      <c r="P342">
        <v>0</v>
      </c>
      <c r="Q342">
        <v>0</v>
      </c>
      <c r="R342">
        <v>0</v>
      </c>
      <c r="S342">
        <v>0</v>
      </c>
      <c r="T342">
        <v>0</v>
      </c>
      <c r="U342">
        <v>0</v>
      </c>
      <c r="V342">
        <v>0</v>
      </c>
      <c r="W342">
        <v>0</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0</v>
      </c>
      <c r="AX342">
        <v>0</v>
      </c>
      <c r="AY342">
        <v>0</v>
      </c>
      <c r="AZ342">
        <v>0</v>
      </c>
      <c r="BA342">
        <v>0</v>
      </c>
      <c r="BB342">
        <v>0</v>
      </c>
      <c r="BC342">
        <v>0</v>
      </c>
      <c r="BD342">
        <v>0</v>
      </c>
      <c r="BE342">
        <v>0</v>
      </c>
      <c r="BF342">
        <v>0</v>
      </c>
      <c r="BG342">
        <v>0</v>
      </c>
      <c r="BH342">
        <v>0</v>
      </c>
      <c r="BI342">
        <v>0</v>
      </c>
      <c r="BJ342">
        <v>0</v>
      </c>
      <c r="BK342">
        <v>0</v>
      </c>
      <c r="BL342">
        <v>0</v>
      </c>
      <c r="BM342">
        <v>0</v>
      </c>
      <c r="BN342">
        <v>0</v>
      </c>
      <c r="BO342">
        <v>0</v>
      </c>
      <c r="BP342">
        <v>0</v>
      </c>
      <c r="BQ342">
        <v>0</v>
      </c>
      <c r="BR342">
        <v>0</v>
      </c>
      <c r="BS342">
        <v>0</v>
      </c>
      <c r="BT342">
        <v>0</v>
      </c>
      <c r="BU342">
        <v>0</v>
      </c>
      <c r="BV342">
        <v>0</v>
      </c>
      <c r="BW342">
        <v>0</v>
      </c>
      <c r="BX342">
        <v>0</v>
      </c>
      <c r="BY342">
        <v>0</v>
      </c>
      <c r="BZ342">
        <v>0</v>
      </c>
      <c r="CA342">
        <v>0</v>
      </c>
      <c r="CB342">
        <v>0</v>
      </c>
    </row>
    <row r="343" spans="1:80" x14ac:dyDescent="0.2">
      <c r="A343">
        <v>0</v>
      </c>
      <c r="B343">
        <v>0</v>
      </c>
      <c r="C343">
        <v>0</v>
      </c>
      <c r="D343">
        <v>0</v>
      </c>
      <c r="E343">
        <v>0</v>
      </c>
      <c r="F343">
        <v>0</v>
      </c>
      <c r="G343">
        <v>0</v>
      </c>
      <c r="H343">
        <v>0</v>
      </c>
      <c r="I343">
        <v>0</v>
      </c>
      <c r="J343">
        <v>0</v>
      </c>
      <c r="K343">
        <v>0</v>
      </c>
      <c r="L343">
        <v>0</v>
      </c>
      <c r="M343">
        <v>0</v>
      </c>
      <c r="N343">
        <v>0</v>
      </c>
      <c r="O343">
        <v>0</v>
      </c>
      <c r="P343">
        <v>0</v>
      </c>
      <c r="Q343">
        <v>0</v>
      </c>
      <c r="R343">
        <v>0</v>
      </c>
      <c r="S343">
        <v>0</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v>0</v>
      </c>
      <c r="AY343">
        <v>0</v>
      </c>
      <c r="AZ343">
        <v>0</v>
      </c>
      <c r="BA343">
        <v>0</v>
      </c>
      <c r="BB343">
        <v>0</v>
      </c>
      <c r="BC343">
        <v>0</v>
      </c>
      <c r="BD343">
        <v>0</v>
      </c>
      <c r="BE343">
        <v>0</v>
      </c>
      <c r="BF343">
        <v>0</v>
      </c>
      <c r="BG343">
        <v>0</v>
      </c>
      <c r="BH343">
        <v>0</v>
      </c>
      <c r="BI343">
        <v>0</v>
      </c>
      <c r="BJ343">
        <v>0</v>
      </c>
      <c r="BK343">
        <v>0</v>
      </c>
      <c r="BL343">
        <v>0</v>
      </c>
      <c r="BM343">
        <v>0</v>
      </c>
      <c r="BN343">
        <v>0</v>
      </c>
      <c r="BO343">
        <v>0</v>
      </c>
      <c r="BP343">
        <v>0</v>
      </c>
      <c r="BQ343">
        <v>0</v>
      </c>
      <c r="BR343">
        <v>0</v>
      </c>
      <c r="BS343">
        <v>0</v>
      </c>
      <c r="BT343">
        <v>0</v>
      </c>
      <c r="BU343">
        <v>0</v>
      </c>
      <c r="BV343">
        <v>0</v>
      </c>
      <c r="BW343">
        <v>0</v>
      </c>
      <c r="BX343">
        <v>0</v>
      </c>
      <c r="BY343">
        <v>0</v>
      </c>
      <c r="BZ343">
        <v>0</v>
      </c>
      <c r="CA343">
        <v>0</v>
      </c>
      <c r="CB343">
        <v>0</v>
      </c>
    </row>
    <row r="344" spans="1:80" x14ac:dyDescent="0.2">
      <c r="A344">
        <v>0</v>
      </c>
      <c r="B344">
        <v>0</v>
      </c>
      <c r="C344">
        <v>0</v>
      </c>
      <c r="D344">
        <v>0</v>
      </c>
      <c r="E344">
        <v>0</v>
      </c>
      <c r="F344">
        <v>0</v>
      </c>
      <c r="G344">
        <v>0</v>
      </c>
      <c r="H344">
        <v>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0</v>
      </c>
      <c r="BA344">
        <v>0</v>
      </c>
      <c r="BB344">
        <v>0</v>
      </c>
      <c r="BC344">
        <v>0</v>
      </c>
      <c r="BD344">
        <v>0</v>
      </c>
      <c r="BE344">
        <v>0</v>
      </c>
      <c r="BF344">
        <v>0</v>
      </c>
      <c r="BG344">
        <v>0</v>
      </c>
      <c r="BH344">
        <v>0</v>
      </c>
      <c r="BI344">
        <v>0</v>
      </c>
      <c r="BJ344">
        <v>0</v>
      </c>
      <c r="BK344">
        <v>0</v>
      </c>
      <c r="BL344">
        <v>0</v>
      </c>
      <c r="BM344">
        <v>0</v>
      </c>
      <c r="BN344">
        <v>0</v>
      </c>
      <c r="BO344">
        <v>0</v>
      </c>
      <c r="BP344">
        <v>0</v>
      </c>
      <c r="BQ344">
        <v>0</v>
      </c>
      <c r="BR344">
        <v>0</v>
      </c>
      <c r="BS344">
        <v>0</v>
      </c>
      <c r="BT344">
        <v>0</v>
      </c>
      <c r="BU344">
        <v>0</v>
      </c>
      <c r="BV344">
        <v>0</v>
      </c>
      <c r="BW344">
        <v>0</v>
      </c>
      <c r="BX344">
        <v>0</v>
      </c>
      <c r="BY344">
        <v>0</v>
      </c>
      <c r="BZ344">
        <v>0</v>
      </c>
      <c r="CA344">
        <v>0</v>
      </c>
      <c r="CB344">
        <v>0</v>
      </c>
    </row>
    <row r="345" spans="1:80" x14ac:dyDescent="0.2">
      <c r="A345">
        <v>0</v>
      </c>
      <c r="B345">
        <v>0</v>
      </c>
      <c r="C345">
        <v>0</v>
      </c>
      <c r="D345">
        <v>0</v>
      </c>
      <c r="E345">
        <v>0</v>
      </c>
      <c r="F345">
        <v>0</v>
      </c>
      <c r="G345">
        <v>0</v>
      </c>
      <c r="H345">
        <v>0</v>
      </c>
      <c r="I345">
        <v>0</v>
      </c>
      <c r="J345">
        <v>0</v>
      </c>
      <c r="K345">
        <v>0</v>
      </c>
      <c r="L345">
        <v>0</v>
      </c>
      <c r="M345">
        <v>0</v>
      </c>
      <c r="N345">
        <v>0</v>
      </c>
      <c r="O345">
        <v>0</v>
      </c>
      <c r="P345">
        <v>0</v>
      </c>
      <c r="Q345">
        <v>0</v>
      </c>
      <c r="R345">
        <v>0</v>
      </c>
      <c r="S345">
        <v>0</v>
      </c>
      <c r="T345">
        <v>0</v>
      </c>
      <c r="U345">
        <v>0</v>
      </c>
      <c r="V345">
        <v>0</v>
      </c>
      <c r="W345">
        <v>0</v>
      </c>
      <c r="X345">
        <v>0</v>
      </c>
      <c r="Y345">
        <v>0</v>
      </c>
      <c r="Z345">
        <v>0</v>
      </c>
      <c r="AA345">
        <v>0</v>
      </c>
      <c r="AB345">
        <v>0</v>
      </c>
      <c r="AC345">
        <v>0</v>
      </c>
      <c r="AD345">
        <v>0</v>
      </c>
      <c r="AE345">
        <v>0</v>
      </c>
      <c r="AF345">
        <v>0</v>
      </c>
      <c r="AG345">
        <v>0</v>
      </c>
      <c r="AH345">
        <v>0</v>
      </c>
      <c r="AI345">
        <v>0</v>
      </c>
      <c r="AJ345">
        <v>0</v>
      </c>
      <c r="AK345">
        <v>0</v>
      </c>
      <c r="AL345">
        <v>0</v>
      </c>
      <c r="AM345">
        <v>0</v>
      </c>
      <c r="AN345">
        <v>0</v>
      </c>
      <c r="AO345">
        <v>0</v>
      </c>
      <c r="AP345">
        <v>0</v>
      </c>
      <c r="AQ345">
        <v>0</v>
      </c>
      <c r="AR345">
        <v>0</v>
      </c>
      <c r="AS345">
        <v>0</v>
      </c>
      <c r="AT345">
        <v>0</v>
      </c>
      <c r="AU345">
        <v>0</v>
      </c>
      <c r="AV345">
        <v>0</v>
      </c>
      <c r="AW345">
        <v>0</v>
      </c>
      <c r="AX345">
        <v>0</v>
      </c>
      <c r="AY345">
        <v>0</v>
      </c>
      <c r="AZ345">
        <v>0</v>
      </c>
      <c r="BA345">
        <v>0</v>
      </c>
      <c r="BB345">
        <v>0</v>
      </c>
      <c r="BC345">
        <v>0</v>
      </c>
      <c r="BD345">
        <v>0</v>
      </c>
      <c r="BE345">
        <v>0</v>
      </c>
      <c r="BF345">
        <v>0</v>
      </c>
      <c r="BG345">
        <v>0</v>
      </c>
      <c r="BH345">
        <v>0</v>
      </c>
      <c r="BI345">
        <v>0</v>
      </c>
      <c r="BJ345">
        <v>0</v>
      </c>
      <c r="BK345">
        <v>0</v>
      </c>
      <c r="BL345">
        <v>0</v>
      </c>
      <c r="BM345">
        <v>0</v>
      </c>
      <c r="BN345">
        <v>0</v>
      </c>
      <c r="BO345">
        <v>0</v>
      </c>
      <c r="BP345">
        <v>0</v>
      </c>
      <c r="BQ345">
        <v>0</v>
      </c>
      <c r="BR345">
        <v>0</v>
      </c>
      <c r="BS345">
        <v>0</v>
      </c>
      <c r="BT345">
        <v>0</v>
      </c>
      <c r="BU345">
        <v>0</v>
      </c>
      <c r="BV345">
        <v>0</v>
      </c>
      <c r="BW345">
        <v>0</v>
      </c>
      <c r="BX345">
        <v>0</v>
      </c>
      <c r="BY345">
        <v>0</v>
      </c>
      <c r="BZ345">
        <v>0</v>
      </c>
      <c r="CA345">
        <v>0</v>
      </c>
      <c r="CB345">
        <v>0</v>
      </c>
    </row>
    <row r="346" spans="1:80" x14ac:dyDescent="0.2">
      <c r="A346">
        <v>0</v>
      </c>
      <c r="B346">
        <v>0</v>
      </c>
      <c r="C346">
        <v>0</v>
      </c>
      <c r="D346">
        <v>0</v>
      </c>
      <c r="E346">
        <v>0</v>
      </c>
      <c r="F346">
        <v>0</v>
      </c>
      <c r="G346">
        <v>0</v>
      </c>
      <c r="H346">
        <v>0</v>
      </c>
      <c r="I346">
        <v>0</v>
      </c>
      <c r="J346">
        <v>0</v>
      </c>
      <c r="K346">
        <v>0</v>
      </c>
      <c r="L346">
        <v>0</v>
      </c>
      <c r="M346">
        <v>0</v>
      </c>
      <c r="N346">
        <v>0</v>
      </c>
      <c r="O346">
        <v>0</v>
      </c>
      <c r="P346">
        <v>0</v>
      </c>
      <c r="Q346">
        <v>0</v>
      </c>
      <c r="R346">
        <v>0</v>
      </c>
      <c r="S346">
        <v>0</v>
      </c>
      <c r="T346">
        <v>0</v>
      </c>
      <c r="U346">
        <v>0</v>
      </c>
      <c r="V346">
        <v>0</v>
      </c>
      <c r="W346">
        <v>0</v>
      </c>
      <c r="X346">
        <v>0</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v>0</v>
      </c>
      <c r="AW346">
        <v>0</v>
      </c>
      <c r="AX346">
        <v>0</v>
      </c>
      <c r="AY346">
        <v>0</v>
      </c>
      <c r="AZ346">
        <v>0</v>
      </c>
      <c r="BA346">
        <v>0</v>
      </c>
      <c r="BB346">
        <v>0</v>
      </c>
      <c r="BC346">
        <v>0</v>
      </c>
      <c r="BD346">
        <v>0</v>
      </c>
      <c r="BE346">
        <v>0</v>
      </c>
      <c r="BF346">
        <v>0</v>
      </c>
      <c r="BG346">
        <v>0</v>
      </c>
      <c r="BH346">
        <v>0</v>
      </c>
      <c r="BI346">
        <v>0</v>
      </c>
      <c r="BJ346">
        <v>0</v>
      </c>
      <c r="BK346">
        <v>0</v>
      </c>
      <c r="BL346">
        <v>0</v>
      </c>
      <c r="BM346">
        <v>0</v>
      </c>
      <c r="BN346">
        <v>0</v>
      </c>
      <c r="BO346">
        <v>0</v>
      </c>
      <c r="BP346">
        <v>0</v>
      </c>
      <c r="BQ346">
        <v>0</v>
      </c>
      <c r="BR346">
        <v>0</v>
      </c>
      <c r="BS346">
        <v>0</v>
      </c>
      <c r="BT346">
        <v>0</v>
      </c>
      <c r="BU346">
        <v>0</v>
      </c>
      <c r="BV346">
        <v>0</v>
      </c>
      <c r="BW346">
        <v>0</v>
      </c>
      <c r="BX346">
        <v>0</v>
      </c>
      <c r="BY346">
        <v>0</v>
      </c>
      <c r="BZ346">
        <v>0</v>
      </c>
      <c r="CA346">
        <v>0</v>
      </c>
      <c r="CB346">
        <v>0</v>
      </c>
    </row>
    <row r="347" spans="1:80" x14ac:dyDescent="0.2">
      <c r="A347">
        <v>0</v>
      </c>
      <c r="B347">
        <v>0</v>
      </c>
      <c r="C347">
        <v>0</v>
      </c>
      <c r="D347">
        <v>0</v>
      </c>
      <c r="E347">
        <v>0</v>
      </c>
      <c r="F347">
        <v>0</v>
      </c>
      <c r="G347">
        <v>0</v>
      </c>
      <c r="H347">
        <v>0</v>
      </c>
      <c r="I347">
        <v>0</v>
      </c>
      <c r="J347">
        <v>0</v>
      </c>
      <c r="K347">
        <v>0</v>
      </c>
      <c r="L347">
        <v>0</v>
      </c>
      <c r="M347">
        <v>0</v>
      </c>
      <c r="N347">
        <v>0</v>
      </c>
      <c r="O347">
        <v>0</v>
      </c>
      <c r="P347">
        <v>0</v>
      </c>
      <c r="Q347">
        <v>0</v>
      </c>
      <c r="R347">
        <v>0</v>
      </c>
      <c r="S347">
        <v>0</v>
      </c>
      <c r="T347">
        <v>0</v>
      </c>
      <c r="U347">
        <v>0</v>
      </c>
      <c r="V347">
        <v>0</v>
      </c>
      <c r="W347">
        <v>0</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v>0</v>
      </c>
      <c r="AT347">
        <v>0</v>
      </c>
      <c r="AU347">
        <v>0</v>
      </c>
      <c r="AV347">
        <v>0</v>
      </c>
      <c r="AW347">
        <v>0</v>
      </c>
      <c r="AX347">
        <v>0</v>
      </c>
      <c r="AY347">
        <v>0</v>
      </c>
      <c r="AZ347">
        <v>0</v>
      </c>
      <c r="BA347">
        <v>0</v>
      </c>
      <c r="BB347">
        <v>0</v>
      </c>
      <c r="BC347">
        <v>0</v>
      </c>
      <c r="BD347">
        <v>0</v>
      </c>
      <c r="BE347">
        <v>0</v>
      </c>
      <c r="BF347">
        <v>0</v>
      </c>
      <c r="BG347">
        <v>0</v>
      </c>
      <c r="BH347">
        <v>0</v>
      </c>
      <c r="BI347">
        <v>0</v>
      </c>
      <c r="BJ347">
        <v>0</v>
      </c>
      <c r="BK347">
        <v>0</v>
      </c>
      <c r="BL347">
        <v>0</v>
      </c>
      <c r="BM347">
        <v>0</v>
      </c>
      <c r="BN347">
        <v>0</v>
      </c>
      <c r="BO347">
        <v>0</v>
      </c>
      <c r="BP347">
        <v>0</v>
      </c>
      <c r="BQ347">
        <v>0</v>
      </c>
      <c r="BR347">
        <v>0</v>
      </c>
      <c r="BS347">
        <v>0</v>
      </c>
      <c r="BT347">
        <v>0</v>
      </c>
      <c r="BU347">
        <v>0</v>
      </c>
      <c r="BV347">
        <v>0</v>
      </c>
      <c r="BW347">
        <v>0</v>
      </c>
      <c r="BX347">
        <v>0</v>
      </c>
      <c r="BY347">
        <v>0</v>
      </c>
      <c r="BZ347">
        <v>0</v>
      </c>
      <c r="CA347">
        <v>0</v>
      </c>
      <c r="CB347">
        <v>0</v>
      </c>
    </row>
    <row r="348" spans="1:80" x14ac:dyDescent="0.2">
      <c r="A348">
        <v>0</v>
      </c>
      <c r="B348">
        <v>0</v>
      </c>
      <c r="C348">
        <v>0</v>
      </c>
      <c r="D348">
        <v>0</v>
      </c>
      <c r="E348">
        <v>0</v>
      </c>
      <c r="F348">
        <v>0</v>
      </c>
      <c r="G348">
        <v>0</v>
      </c>
      <c r="H348">
        <v>0</v>
      </c>
      <c r="I348">
        <v>0</v>
      </c>
      <c r="J348">
        <v>0</v>
      </c>
      <c r="K348">
        <v>0</v>
      </c>
      <c r="L348">
        <v>0</v>
      </c>
      <c r="M348">
        <v>0</v>
      </c>
      <c r="N348">
        <v>0</v>
      </c>
      <c r="O348">
        <v>0</v>
      </c>
      <c r="P348">
        <v>0</v>
      </c>
      <c r="Q348">
        <v>0</v>
      </c>
      <c r="R348">
        <v>0</v>
      </c>
      <c r="S348">
        <v>0</v>
      </c>
      <c r="T348">
        <v>0</v>
      </c>
      <c r="U348">
        <v>0</v>
      </c>
      <c r="V348">
        <v>0</v>
      </c>
      <c r="W348">
        <v>0</v>
      </c>
      <c r="X348">
        <v>0</v>
      </c>
      <c r="Y348">
        <v>0</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v>0</v>
      </c>
      <c r="AW348">
        <v>0</v>
      </c>
      <c r="AX348">
        <v>0</v>
      </c>
      <c r="AY348">
        <v>0</v>
      </c>
      <c r="AZ348">
        <v>0</v>
      </c>
      <c r="BA348">
        <v>0</v>
      </c>
      <c r="BB348">
        <v>0</v>
      </c>
      <c r="BC348">
        <v>0</v>
      </c>
      <c r="BD348">
        <v>0</v>
      </c>
      <c r="BE348">
        <v>0</v>
      </c>
      <c r="BF348">
        <v>0</v>
      </c>
      <c r="BG348">
        <v>0</v>
      </c>
      <c r="BH348">
        <v>0</v>
      </c>
      <c r="BI348">
        <v>0</v>
      </c>
      <c r="BJ348">
        <v>0</v>
      </c>
      <c r="BK348">
        <v>0</v>
      </c>
      <c r="BL348">
        <v>0</v>
      </c>
      <c r="BM348">
        <v>0</v>
      </c>
      <c r="BN348">
        <v>0</v>
      </c>
      <c r="BO348">
        <v>0</v>
      </c>
      <c r="BP348">
        <v>0</v>
      </c>
      <c r="BQ348">
        <v>0</v>
      </c>
      <c r="BR348">
        <v>0</v>
      </c>
      <c r="BS348">
        <v>0</v>
      </c>
      <c r="BT348">
        <v>0</v>
      </c>
      <c r="BU348">
        <v>0</v>
      </c>
      <c r="BV348">
        <v>0</v>
      </c>
      <c r="BW348">
        <v>0</v>
      </c>
      <c r="BX348">
        <v>0</v>
      </c>
      <c r="BY348">
        <v>0</v>
      </c>
      <c r="BZ348">
        <v>0</v>
      </c>
      <c r="CA348">
        <v>0</v>
      </c>
      <c r="CB348">
        <v>0</v>
      </c>
    </row>
    <row r="349" spans="1:80" x14ac:dyDescent="0.2">
      <c r="A349">
        <v>0</v>
      </c>
      <c r="B349">
        <v>0</v>
      </c>
      <c r="C349">
        <v>0</v>
      </c>
      <c r="D349">
        <v>0</v>
      </c>
      <c r="E349">
        <v>0</v>
      </c>
      <c r="F349">
        <v>0</v>
      </c>
      <c r="G349">
        <v>0</v>
      </c>
      <c r="H349">
        <v>0</v>
      </c>
      <c r="I349">
        <v>0</v>
      </c>
      <c r="J349">
        <v>0</v>
      </c>
      <c r="K349">
        <v>0</v>
      </c>
      <c r="L349">
        <v>0</v>
      </c>
      <c r="M349">
        <v>0</v>
      </c>
      <c r="N349">
        <v>0</v>
      </c>
      <c r="O349">
        <v>0</v>
      </c>
      <c r="P349">
        <v>0</v>
      </c>
      <c r="Q349">
        <v>0</v>
      </c>
      <c r="R349">
        <v>0</v>
      </c>
      <c r="S349">
        <v>0</v>
      </c>
      <c r="T349">
        <v>0</v>
      </c>
      <c r="U349">
        <v>0</v>
      </c>
      <c r="V349">
        <v>0</v>
      </c>
      <c r="W349">
        <v>0</v>
      </c>
      <c r="X349">
        <v>0</v>
      </c>
      <c r="Y349">
        <v>0</v>
      </c>
      <c r="Z349">
        <v>0</v>
      </c>
      <c r="AA349">
        <v>0</v>
      </c>
      <c r="AB349">
        <v>0</v>
      </c>
      <c r="AC349">
        <v>0</v>
      </c>
      <c r="AD349">
        <v>0</v>
      </c>
      <c r="AE349">
        <v>0</v>
      </c>
      <c r="AF349">
        <v>0</v>
      </c>
      <c r="AG349">
        <v>0</v>
      </c>
      <c r="AH349">
        <v>0</v>
      </c>
      <c r="AI349">
        <v>0</v>
      </c>
      <c r="AJ349">
        <v>0</v>
      </c>
      <c r="AK349">
        <v>0</v>
      </c>
      <c r="AL349">
        <v>0</v>
      </c>
      <c r="AM349">
        <v>0</v>
      </c>
      <c r="AN349">
        <v>0</v>
      </c>
      <c r="AO349">
        <v>0</v>
      </c>
      <c r="AP349">
        <v>0</v>
      </c>
      <c r="AQ349">
        <v>0</v>
      </c>
      <c r="AR349">
        <v>0</v>
      </c>
      <c r="AS349">
        <v>0</v>
      </c>
      <c r="AT349">
        <v>0</v>
      </c>
      <c r="AU349">
        <v>0</v>
      </c>
      <c r="AV349">
        <v>0</v>
      </c>
      <c r="AW349">
        <v>0</v>
      </c>
      <c r="AX349">
        <v>0</v>
      </c>
      <c r="AY349">
        <v>0</v>
      </c>
      <c r="AZ349">
        <v>0</v>
      </c>
      <c r="BA349">
        <v>0</v>
      </c>
      <c r="BB349">
        <v>0</v>
      </c>
      <c r="BC349">
        <v>0</v>
      </c>
      <c r="BD349">
        <v>0</v>
      </c>
      <c r="BE349">
        <v>0</v>
      </c>
      <c r="BF349">
        <v>0</v>
      </c>
      <c r="BG349">
        <v>0</v>
      </c>
      <c r="BH349">
        <v>0</v>
      </c>
      <c r="BI349">
        <v>0</v>
      </c>
      <c r="BJ349">
        <v>0</v>
      </c>
      <c r="BK349">
        <v>0</v>
      </c>
      <c r="BL349">
        <v>0</v>
      </c>
      <c r="BM349">
        <v>0</v>
      </c>
      <c r="BN349">
        <v>0</v>
      </c>
      <c r="BO349">
        <v>0</v>
      </c>
      <c r="BP349">
        <v>0</v>
      </c>
      <c r="BQ349">
        <v>0</v>
      </c>
      <c r="BR349">
        <v>0</v>
      </c>
      <c r="BS349">
        <v>0</v>
      </c>
      <c r="BT349">
        <v>0</v>
      </c>
      <c r="BU349">
        <v>0</v>
      </c>
      <c r="BV349">
        <v>0</v>
      </c>
      <c r="BW349">
        <v>0</v>
      </c>
      <c r="BX349">
        <v>0</v>
      </c>
      <c r="BY349">
        <v>0</v>
      </c>
      <c r="BZ349">
        <v>0</v>
      </c>
      <c r="CA349">
        <v>0</v>
      </c>
      <c r="CB349">
        <v>0</v>
      </c>
    </row>
    <row r="350" spans="1:80" x14ac:dyDescent="0.2">
      <c r="A350">
        <v>0</v>
      </c>
      <c r="B350">
        <v>0</v>
      </c>
      <c r="C350">
        <v>0</v>
      </c>
      <c r="D350">
        <v>0</v>
      </c>
      <c r="E350">
        <v>0</v>
      </c>
      <c r="F350">
        <v>0</v>
      </c>
      <c r="G350">
        <v>0</v>
      </c>
      <c r="H350">
        <v>0</v>
      </c>
      <c r="I350">
        <v>0</v>
      </c>
      <c r="J350">
        <v>0</v>
      </c>
      <c r="K350">
        <v>0</v>
      </c>
      <c r="L350">
        <v>0</v>
      </c>
      <c r="M350">
        <v>0</v>
      </c>
      <c r="N350">
        <v>0</v>
      </c>
      <c r="O350">
        <v>0</v>
      </c>
      <c r="P350">
        <v>0</v>
      </c>
      <c r="Q350">
        <v>0</v>
      </c>
      <c r="R350">
        <v>0</v>
      </c>
      <c r="S350">
        <v>0</v>
      </c>
      <c r="T350">
        <v>0</v>
      </c>
      <c r="U350">
        <v>0</v>
      </c>
      <c r="V350">
        <v>0</v>
      </c>
      <c r="W350">
        <v>0</v>
      </c>
      <c r="X350">
        <v>0</v>
      </c>
      <c r="Y350">
        <v>0</v>
      </c>
      <c r="Z350">
        <v>0</v>
      </c>
      <c r="AA350">
        <v>0</v>
      </c>
      <c r="AB350">
        <v>0</v>
      </c>
      <c r="AC350">
        <v>0</v>
      </c>
      <c r="AD350">
        <v>0</v>
      </c>
      <c r="AE350">
        <v>0</v>
      </c>
      <c r="AF350">
        <v>0</v>
      </c>
      <c r="AG350">
        <v>0</v>
      </c>
      <c r="AH350">
        <v>0</v>
      </c>
      <c r="AI350">
        <v>0</v>
      </c>
      <c r="AJ350">
        <v>0</v>
      </c>
      <c r="AK350">
        <v>0</v>
      </c>
      <c r="AL350">
        <v>0</v>
      </c>
      <c r="AM350">
        <v>0</v>
      </c>
      <c r="AN350">
        <v>0</v>
      </c>
      <c r="AO350">
        <v>0</v>
      </c>
      <c r="AP350">
        <v>0</v>
      </c>
      <c r="AQ350">
        <v>0</v>
      </c>
      <c r="AR350">
        <v>0</v>
      </c>
      <c r="AS350">
        <v>0</v>
      </c>
      <c r="AT350">
        <v>0</v>
      </c>
      <c r="AU350">
        <v>0</v>
      </c>
      <c r="AV350">
        <v>0</v>
      </c>
      <c r="AW350">
        <v>0</v>
      </c>
      <c r="AX350">
        <v>0</v>
      </c>
      <c r="AY350">
        <v>0</v>
      </c>
      <c r="AZ350">
        <v>0</v>
      </c>
      <c r="BA350">
        <v>0</v>
      </c>
      <c r="BB350">
        <v>0</v>
      </c>
      <c r="BC350">
        <v>0</v>
      </c>
      <c r="BD350">
        <v>0</v>
      </c>
      <c r="BE350">
        <v>0</v>
      </c>
      <c r="BF350">
        <v>0</v>
      </c>
      <c r="BG350">
        <v>0</v>
      </c>
      <c r="BH350">
        <v>0</v>
      </c>
      <c r="BI350">
        <v>0</v>
      </c>
      <c r="BJ350">
        <v>0</v>
      </c>
      <c r="BK350">
        <v>0</v>
      </c>
      <c r="BL350">
        <v>0</v>
      </c>
      <c r="BM350">
        <v>0</v>
      </c>
      <c r="BN350">
        <v>0</v>
      </c>
      <c r="BO350">
        <v>0</v>
      </c>
      <c r="BP350">
        <v>0</v>
      </c>
      <c r="BQ350">
        <v>0</v>
      </c>
      <c r="BR350">
        <v>0</v>
      </c>
      <c r="BS350">
        <v>0</v>
      </c>
      <c r="BT350">
        <v>0</v>
      </c>
      <c r="BU350">
        <v>0</v>
      </c>
      <c r="BV350">
        <v>0</v>
      </c>
      <c r="BW350">
        <v>0</v>
      </c>
      <c r="BX350">
        <v>0</v>
      </c>
      <c r="BY350">
        <v>0</v>
      </c>
      <c r="BZ350">
        <v>0</v>
      </c>
      <c r="CA350">
        <v>0</v>
      </c>
      <c r="CB350">
        <v>0</v>
      </c>
    </row>
    <row r="351" spans="1:80" x14ac:dyDescent="0.2">
      <c r="A351">
        <v>0</v>
      </c>
      <c r="B351">
        <v>0</v>
      </c>
      <c r="C351">
        <v>0</v>
      </c>
      <c r="D351">
        <v>0</v>
      </c>
      <c r="E351">
        <v>0</v>
      </c>
      <c r="F351">
        <v>0</v>
      </c>
      <c r="G351">
        <v>0</v>
      </c>
      <c r="H351">
        <v>0</v>
      </c>
      <c r="I351">
        <v>0</v>
      </c>
      <c r="J351">
        <v>0</v>
      </c>
      <c r="K351">
        <v>0</v>
      </c>
      <c r="L351">
        <v>0</v>
      </c>
      <c r="M351">
        <v>0</v>
      </c>
      <c r="N351">
        <v>0</v>
      </c>
      <c r="O351">
        <v>0</v>
      </c>
      <c r="P351">
        <v>0</v>
      </c>
      <c r="Q351">
        <v>0</v>
      </c>
      <c r="R351">
        <v>0</v>
      </c>
      <c r="S351">
        <v>0</v>
      </c>
      <c r="T351">
        <v>0</v>
      </c>
      <c r="U351">
        <v>0</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c r="BA351">
        <v>0</v>
      </c>
      <c r="BB351">
        <v>0</v>
      </c>
      <c r="BC351">
        <v>0</v>
      </c>
      <c r="BD351">
        <v>0</v>
      </c>
      <c r="BE351">
        <v>0</v>
      </c>
      <c r="BF351">
        <v>0</v>
      </c>
      <c r="BG351">
        <v>0</v>
      </c>
      <c r="BH351">
        <v>0</v>
      </c>
      <c r="BI351">
        <v>0</v>
      </c>
      <c r="BJ351">
        <v>0</v>
      </c>
      <c r="BK351">
        <v>0</v>
      </c>
      <c r="BL351">
        <v>0</v>
      </c>
      <c r="BM351">
        <v>0</v>
      </c>
      <c r="BN351">
        <v>0</v>
      </c>
      <c r="BO351">
        <v>0</v>
      </c>
      <c r="BP351">
        <v>0</v>
      </c>
      <c r="BQ351">
        <v>0</v>
      </c>
      <c r="BR351">
        <v>0</v>
      </c>
      <c r="BS351">
        <v>0</v>
      </c>
      <c r="BT351">
        <v>0</v>
      </c>
      <c r="BU351">
        <v>0</v>
      </c>
      <c r="BV351">
        <v>0</v>
      </c>
      <c r="BW351">
        <v>0</v>
      </c>
      <c r="BX351">
        <v>0</v>
      </c>
      <c r="BY351">
        <v>0</v>
      </c>
      <c r="BZ351">
        <v>0</v>
      </c>
      <c r="CA351">
        <v>0</v>
      </c>
      <c r="CB351">
        <v>0</v>
      </c>
    </row>
    <row r="352" spans="1:80" x14ac:dyDescent="0.2">
      <c r="A352">
        <v>0</v>
      </c>
      <c r="B352">
        <v>0</v>
      </c>
      <c r="C352">
        <v>0</v>
      </c>
      <c r="D352">
        <v>0</v>
      </c>
      <c r="E352">
        <v>0</v>
      </c>
      <c r="F352">
        <v>0</v>
      </c>
      <c r="G352">
        <v>0</v>
      </c>
      <c r="H352">
        <v>0</v>
      </c>
      <c r="I352">
        <v>0</v>
      </c>
      <c r="J352">
        <v>0</v>
      </c>
      <c r="K352">
        <v>0</v>
      </c>
      <c r="L352">
        <v>0</v>
      </c>
      <c r="M352">
        <v>0</v>
      </c>
      <c r="N352">
        <v>0</v>
      </c>
      <c r="O352">
        <v>0</v>
      </c>
      <c r="P352">
        <v>0</v>
      </c>
      <c r="Q352">
        <v>0</v>
      </c>
      <c r="R352">
        <v>0</v>
      </c>
      <c r="S352">
        <v>0</v>
      </c>
      <c r="T352">
        <v>0</v>
      </c>
      <c r="U352">
        <v>0</v>
      </c>
      <c r="V352">
        <v>0</v>
      </c>
      <c r="W352">
        <v>0</v>
      </c>
      <c r="X352">
        <v>0</v>
      </c>
      <c r="Y352">
        <v>0</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0</v>
      </c>
      <c r="AU352">
        <v>0</v>
      </c>
      <c r="AV352">
        <v>0</v>
      </c>
      <c r="AW352">
        <v>0</v>
      </c>
      <c r="AX352">
        <v>0</v>
      </c>
      <c r="AY352">
        <v>0</v>
      </c>
      <c r="AZ352">
        <v>0</v>
      </c>
      <c r="BA352">
        <v>0</v>
      </c>
      <c r="BB352">
        <v>0</v>
      </c>
      <c r="BC352">
        <v>0</v>
      </c>
      <c r="BD352">
        <v>0</v>
      </c>
      <c r="BE352">
        <v>0</v>
      </c>
      <c r="BF352">
        <v>0</v>
      </c>
      <c r="BG352">
        <v>0</v>
      </c>
      <c r="BH352">
        <v>0</v>
      </c>
      <c r="BI352">
        <v>0</v>
      </c>
      <c r="BJ352">
        <v>0</v>
      </c>
      <c r="BK352">
        <v>0</v>
      </c>
      <c r="BL352">
        <v>0</v>
      </c>
      <c r="BM352">
        <v>0</v>
      </c>
      <c r="BN352">
        <v>0</v>
      </c>
      <c r="BO352">
        <v>0</v>
      </c>
      <c r="BP352">
        <v>0</v>
      </c>
      <c r="BQ352">
        <v>0</v>
      </c>
      <c r="BR352">
        <v>0</v>
      </c>
      <c r="BS352">
        <v>0</v>
      </c>
      <c r="BT352">
        <v>0</v>
      </c>
      <c r="BU352">
        <v>0</v>
      </c>
      <c r="BV352">
        <v>0</v>
      </c>
      <c r="BW352">
        <v>0</v>
      </c>
      <c r="BX352">
        <v>0</v>
      </c>
      <c r="BY352">
        <v>0</v>
      </c>
      <c r="BZ352">
        <v>0</v>
      </c>
      <c r="CA352">
        <v>0</v>
      </c>
      <c r="CB352">
        <v>0</v>
      </c>
    </row>
    <row r="353" spans="1:80" x14ac:dyDescent="0.2">
      <c r="A353">
        <v>0</v>
      </c>
      <c r="B353">
        <v>0</v>
      </c>
      <c r="C353">
        <v>0</v>
      </c>
      <c r="D353">
        <v>0</v>
      </c>
      <c r="E353">
        <v>0</v>
      </c>
      <c r="F353">
        <v>0</v>
      </c>
      <c r="G353">
        <v>0</v>
      </c>
      <c r="H353">
        <v>0</v>
      </c>
      <c r="I353">
        <v>0</v>
      </c>
      <c r="J353">
        <v>0</v>
      </c>
      <c r="K353">
        <v>0</v>
      </c>
      <c r="L353">
        <v>0</v>
      </c>
      <c r="M353">
        <v>0</v>
      </c>
      <c r="N353">
        <v>0</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v>0</v>
      </c>
      <c r="AY353">
        <v>0</v>
      </c>
      <c r="AZ353">
        <v>0</v>
      </c>
      <c r="BA353">
        <v>0</v>
      </c>
      <c r="BB353">
        <v>0</v>
      </c>
      <c r="BC353">
        <v>0</v>
      </c>
      <c r="BD353">
        <v>0</v>
      </c>
      <c r="BE353">
        <v>0</v>
      </c>
      <c r="BF353">
        <v>0</v>
      </c>
      <c r="BG353">
        <v>0</v>
      </c>
      <c r="BH353">
        <v>0</v>
      </c>
      <c r="BI353">
        <v>0</v>
      </c>
      <c r="BJ353">
        <v>0</v>
      </c>
      <c r="BK353">
        <v>0</v>
      </c>
      <c r="BL353">
        <v>0</v>
      </c>
      <c r="BM353">
        <v>0</v>
      </c>
      <c r="BN353">
        <v>0</v>
      </c>
      <c r="BO353">
        <v>0</v>
      </c>
      <c r="BP353">
        <v>0</v>
      </c>
      <c r="BQ353">
        <v>0</v>
      </c>
      <c r="BR353">
        <v>0</v>
      </c>
      <c r="BS353">
        <v>0</v>
      </c>
      <c r="BT353">
        <v>0</v>
      </c>
      <c r="BU353">
        <v>0</v>
      </c>
      <c r="BV353">
        <v>0</v>
      </c>
      <c r="BW353">
        <v>0</v>
      </c>
      <c r="BX353">
        <v>0</v>
      </c>
      <c r="BY353">
        <v>0</v>
      </c>
      <c r="BZ353">
        <v>0</v>
      </c>
      <c r="CA353">
        <v>0</v>
      </c>
      <c r="CB353">
        <v>0</v>
      </c>
    </row>
    <row r="354" spans="1:80" x14ac:dyDescent="0.2">
      <c r="A354">
        <v>0</v>
      </c>
      <c r="B354">
        <v>0</v>
      </c>
      <c r="C354">
        <v>0</v>
      </c>
      <c r="D354">
        <v>0</v>
      </c>
      <c r="E354">
        <v>0</v>
      </c>
      <c r="F354">
        <v>0</v>
      </c>
      <c r="G354">
        <v>0</v>
      </c>
      <c r="H354">
        <v>0</v>
      </c>
      <c r="I354">
        <v>0</v>
      </c>
      <c r="J354">
        <v>0</v>
      </c>
      <c r="K354">
        <v>0</v>
      </c>
      <c r="L354">
        <v>0</v>
      </c>
      <c r="M354">
        <v>0</v>
      </c>
      <c r="N354">
        <v>0</v>
      </c>
      <c r="O354">
        <v>0</v>
      </c>
      <c r="P354">
        <v>0</v>
      </c>
      <c r="Q354">
        <v>0</v>
      </c>
      <c r="R354">
        <v>0</v>
      </c>
      <c r="S354">
        <v>0</v>
      </c>
      <c r="T354">
        <v>0</v>
      </c>
      <c r="U354">
        <v>0</v>
      </c>
      <c r="V354">
        <v>0</v>
      </c>
      <c r="W354">
        <v>0</v>
      </c>
      <c r="X354">
        <v>0</v>
      </c>
      <c r="Y354">
        <v>0</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v>0</v>
      </c>
      <c r="AS354">
        <v>0</v>
      </c>
      <c r="AT354">
        <v>0</v>
      </c>
      <c r="AU354">
        <v>0</v>
      </c>
      <c r="AV354">
        <v>0</v>
      </c>
      <c r="AW354">
        <v>0</v>
      </c>
      <c r="AX354">
        <v>0</v>
      </c>
      <c r="AY354">
        <v>0</v>
      </c>
      <c r="AZ354">
        <v>0</v>
      </c>
      <c r="BA354">
        <v>0</v>
      </c>
      <c r="BB354">
        <v>0</v>
      </c>
      <c r="BC354">
        <v>0</v>
      </c>
      <c r="BD354">
        <v>0</v>
      </c>
      <c r="BE354">
        <v>0</v>
      </c>
      <c r="BF354">
        <v>0</v>
      </c>
      <c r="BG354">
        <v>0</v>
      </c>
      <c r="BH354">
        <v>0</v>
      </c>
      <c r="BI354">
        <v>0</v>
      </c>
      <c r="BJ354">
        <v>0</v>
      </c>
      <c r="BK354">
        <v>0</v>
      </c>
      <c r="BL354">
        <v>0</v>
      </c>
      <c r="BM354">
        <v>0</v>
      </c>
      <c r="BN354">
        <v>0</v>
      </c>
      <c r="BO354">
        <v>0</v>
      </c>
      <c r="BP354">
        <v>0</v>
      </c>
      <c r="BQ354">
        <v>0</v>
      </c>
      <c r="BR354">
        <v>0</v>
      </c>
      <c r="BS354">
        <v>0</v>
      </c>
      <c r="BT354">
        <v>0</v>
      </c>
      <c r="BU354">
        <v>0</v>
      </c>
      <c r="BV354">
        <v>0</v>
      </c>
      <c r="BW354">
        <v>0</v>
      </c>
      <c r="BX354">
        <v>0</v>
      </c>
      <c r="BY354">
        <v>0</v>
      </c>
      <c r="BZ354">
        <v>0</v>
      </c>
      <c r="CA354">
        <v>0</v>
      </c>
      <c r="CB354">
        <v>0</v>
      </c>
    </row>
    <row r="355" spans="1:80" x14ac:dyDescent="0.2">
      <c r="A355">
        <v>0</v>
      </c>
      <c r="B355">
        <v>0</v>
      </c>
      <c r="C355">
        <v>0</v>
      </c>
      <c r="D355">
        <v>0</v>
      </c>
      <c r="E355">
        <v>0</v>
      </c>
      <c r="F355">
        <v>0</v>
      </c>
      <c r="G355">
        <v>0</v>
      </c>
      <c r="H355">
        <v>0</v>
      </c>
      <c r="I355">
        <v>0</v>
      </c>
      <c r="J355">
        <v>0</v>
      </c>
      <c r="K355">
        <v>0</v>
      </c>
      <c r="L355">
        <v>0</v>
      </c>
      <c r="M355">
        <v>0</v>
      </c>
      <c r="N355">
        <v>0</v>
      </c>
      <c r="O355">
        <v>0</v>
      </c>
      <c r="P355">
        <v>0</v>
      </c>
      <c r="Q355">
        <v>0</v>
      </c>
      <c r="R355">
        <v>0</v>
      </c>
      <c r="S355">
        <v>0</v>
      </c>
      <c r="T355">
        <v>0</v>
      </c>
      <c r="U355">
        <v>0</v>
      </c>
      <c r="V355">
        <v>0</v>
      </c>
      <c r="W355">
        <v>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v>0</v>
      </c>
      <c r="AW355">
        <v>0</v>
      </c>
      <c r="AX355">
        <v>0</v>
      </c>
      <c r="AY355">
        <v>0</v>
      </c>
      <c r="AZ355">
        <v>0</v>
      </c>
      <c r="BA355">
        <v>0</v>
      </c>
      <c r="BB355">
        <v>0</v>
      </c>
      <c r="BC355">
        <v>0</v>
      </c>
      <c r="BD355">
        <v>0</v>
      </c>
      <c r="BE355">
        <v>0</v>
      </c>
      <c r="BF355">
        <v>0</v>
      </c>
      <c r="BG355">
        <v>0</v>
      </c>
      <c r="BH355">
        <v>0</v>
      </c>
      <c r="BI355">
        <v>0</v>
      </c>
      <c r="BJ355">
        <v>0</v>
      </c>
      <c r="BK355">
        <v>0</v>
      </c>
      <c r="BL355">
        <v>0</v>
      </c>
      <c r="BM355">
        <v>0</v>
      </c>
      <c r="BN355">
        <v>0</v>
      </c>
      <c r="BO355">
        <v>0</v>
      </c>
      <c r="BP355">
        <v>0</v>
      </c>
      <c r="BQ355">
        <v>0</v>
      </c>
      <c r="BR355">
        <v>0</v>
      </c>
      <c r="BS355">
        <v>0</v>
      </c>
      <c r="BT355">
        <v>0</v>
      </c>
      <c r="BU355">
        <v>0</v>
      </c>
      <c r="BV355">
        <v>0</v>
      </c>
      <c r="BW355">
        <v>0</v>
      </c>
      <c r="BX355">
        <v>0</v>
      </c>
      <c r="BY355">
        <v>0</v>
      </c>
      <c r="BZ355">
        <v>0</v>
      </c>
      <c r="CA355">
        <v>0</v>
      </c>
      <c r="CB355">
        <v>0</v>
      </c>
    </row>
    <row r="356" spans="1:80" x14ac:dyDescent="0.2">
      <c r="A356">
        <v>0</v>
      </c>
      <c r="B356">
        <v>0</v>
      </c>
      <c r="C356">
        <v>0</v>
      </c>
      <c r="D356">
        <v>0</v>
      </c>
      <c r="E356">
        <v>0</v>
      </c>
      <c r="F356">
        <v>0</v>
      </c>
      <c r="G356">
        <v>0</v>
      </c>
      <c r="H356">
        <v>0</v>
      </c>
      <c r="I356">
        <v>0</v>
      </c>
      <c r="J356">
        <v>0</v>
      </c>
      <c r="K356">
        <v>0</v>
      </c>
      <c r="L356">
        <v>0</v>
      </c>
      <c r="M356">
        <v>0</v>
      </c>
      <c r="N356">
        <v>0</v>
      </c>
      <c r="O356">
        <v>0</v>
      </c>
      <c r="P356">
        <v>0</v>
      </c>
      <c r="Q356">
        <v>0</v>
      </c>
      <c r="R356">
        <v>0</v>
      </c>
      <c r="S356">
        <v>0</v>
      </c>
      <c r="T356">
        <v>0</v>
      </c>
      <c r="U356">
        <v>0</v>
      </c>
      <c r="V356">
        <v>0</v>
      </c>
      <c r="W356">
        <v>0</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0</v>
      </c>
      <c r="AV356">
        <v>0</v>
      </c>
      <c r="AW356">
        <v>0</v>
      </c>
      <c r="AX356">
        <v>0</v>
      </c>
      <c r="AY356">
        <v>0</v>
      </c>
      <c r="AZ356">
        <v>0</v>
      </c>
      <c r="BA356">
        <v>0</v>
      </c>
      <c r="BB356">
        <v>0</v>
      </c>
      <c r="BC356">
        <v>0</v>
      </c>
      <c r="BD356">
        <v>0</v>
      </c>
      <c r="BE356">
        <v>0</v>
      </c>
      <c r="BF356">
        <v>0</v>
      </c>
      <c r="BG356">
        <v>0</v>
      </c>
      <c r="BH356">
        <v>0</v>
      </c>
      <c r="BI356">
        <v>0</v>
      </c>
      <c r="BJ356">
        <v>0</v>
      </c>
      <c r="BK356">
        <v>0</v>
      </c>
      <c r="BL356">
        <v>0</v>
      </c>
      <c r="BM356">
        <v>0</v>
      </c>
      <c r="BN356">
        <v>0</v>
      </c>
      <c r="BO356">
        <v>0</v>
      </c>
      <c r="BP356">
        <v>0</v>
      </c>
      <c r="BQ356">
        <v>0</v>
      </c>
      <c r="BR356">
        <v>0</v>
      </c>
      <c r="BS356">
        <v>0</v>
      </c>
      <c r="BT356">
        <v>0</v>
      </c>
      <c r="BU356">
        <v>0</v>
      </c>
      <c r="BV356">
        <v>0</v>
      </c>
      <c r="BW356">
        <v>0</v>
      </c>
      <c r="BX356">
        <v>0</v>
      </c>
      <c r="BY356">
        <v>0</v>
      </c>
      <c r="BZ356">
        <v>0</v>
      </c>
      <c r="CA356">
        <v>0</v>
      </c>
      <c r="CB356">
        <v>0</v>
      </c>
    </row>
    <row r="357" spans="1:80" x14ac:dyDescent="0.2">
      <c r="A357">
        <v>0</v>
      </c>
      <c r="B357">
        <v>0</v>
      </c>
      <c r="C357">
        <v>0</v>
      </c>
      <c r="D357">
        <v>0</v>
      </c>
      <c r="E357">
        <v>0</v>
      </c>
      <c r="F357">
        <v>0</v>
      </c>
      <c r="G357">
        <v>0</v>
      </c>
      <c r="H357">
        <v>0</v>
      </c>
      <c r="I357">
        <v>0</v>
      </c>
      <c r="J357">
        <v>0</v>
      </c>
      <c r="K357">
        <v>0</v>
      </c>
      <c r="L357">
        <v>0</v>
      </c>
      <c r="M357">
        <v>0</v>
      </c>
      <c r="N357">
        <v>0</v>
      </c>
      <c r="O357">
        <v>0</v>
      </c>
      <c r="P357">
        <v>0</v>
      </c>
      <c r="Q357">
        <v>0</v>
      </c>
      <c r="R357">
        <v>0</v>
      </c>
      <c r="S357">
        <v>0</v>
      </c>
      <c r="T357">
        <v>0</v>
      </c>
      <c r="U357">
        <v>0</v>
      </c>
      <c r="V357">
        <v>0</v>
      </c>
      <c r="W357">
        <v>0</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c r="BA357">
        <v>0</v>
      </c>
      <c r="BB357">
        <v>0</v>
      </c>
      <c r="BC357">
        <v>0</v>
      </c>
      <c r="BD357">
        <v>0</v>
      </c>
      <c r="BE357">
        <v>0</v>
      </c>
      <c r="BF357">
        <v>0</v>
      </c>
      <c r="BG357">
        <v>0</v>
      </c>
      <c r="BH357">
        <v>0</v>
      </c>
      <c r="BI357">
        <v>0</v>
      </c>
      <c r="BJ357">
        <v>0</v>
      </c>
      <c r="BK357">
        <v>0</v>
      </c>
      <c r="BL357">
        <v>0</v>
      </c>
      <c r="BM357">
        <v>0</v>
      </c>
      <c r="BN357">
        <v>0</v>
      </c>
      <c r="BO357">
        <v>0</v>
      </c>
      <c r="BP357">
        <v>0</v>
      </c>
      <c r="BQ357">
        <v>0</v>
      </c>
      <c r="BR357">
        <v>0</v>
      </c>
      <c r="BS357">
        <v>0</v>
      </c>
      <c r="BT357">
        <v>0</v>
      </c>
      <c r="BU357">
        <v>0</v>
      </c>
      <c r="BV357">
        <v>0</v>
      </c>
      <c r="BW357">
        <v>0</v>
      </c>
      <c r="BX357">
        <v>0</v>
      </c>
      <c r="BY357">
        <v>0</v>
      </c>
      <c r="BZ357">
        <v>0</v>
      </c>
      <c r="CA357">
        <v>0</v>
      </c>
      <c r="CB357">
        <v>0</v>
      </c>
    </row>
    <row r="358" spans="1:80" x14ac:dyDescent="0.2">
      <c r="A358">
        <v>0</v>
      </c>
      <c r="B358">
        <v>0</v>
      </c>
      <c r="C358">
        <v>0</v>
      </c>
      <c r="D358">
        <v>0</v>
      </c>
      <c r="E358">
        <v>0</v>
      </c>
      <c r="F358">
        <v>0</v>
      </c>
      <c r="G358">
        <v>0</v>
      </c>
      <c r="H358">
        <v>0</v>
      </c>
      <c r="I358">
        <v>0</v>
      </c>
      <c r="J358">
        <v>0</v>
      </c>
      <c r="K358">
        <v>0</v>
      </c>
      <c r="L358">
        <v>0</v>
      </c>
      <c r="M358">
        <v>0</v>
      </c>
      <c r="N358">
        <v>0</v>
      </c>
      <c r="O358">
        <v>0</v>
      </c>
      <c r="P358">
        <v>0</v>
      </c>
      <c r="Q358">
        <v>0</v>
      </c>
      <c r="R358">
        <v>0</v>
      </c>
      <c r="S358">
        <v>0</v>
      </c>
      <c r="T358">
        <v>0</v>
      </c>
      <c r="U358">
        <v>0</v>
      </c>
      <c r="V358">
        <v>0</v>
      </c>
      <c r="W358">
        <v>0</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0</v>
      </c>
      <c r="BU358">
        <v>0</v>
      </c>
      <c r="BV358">
        <v>0</v>
      </c>
      <c r="BW358">
        <v>0</v>
      </c>
      <c r="BX358">
        <v>0</v>
      </c>
      <c r="BY358">
        <v>0</v>
      </c>
      <c r="BZ358">
        <v>0</v>
      </c>
      <c r="CA358">
        <v>0</v>
      </c>
      <c r="CB358">
        <v>0</v>
      </c>
    </row>
    <row r="359" spans="1:80" x14ac:dyDescent="0.2">
      <c r="A359">
        <v>0</v>
      </c>
      <c r="B359">
        <v>0</v>
      </c>
      <c r="C359">
        <v>0</v>
      </c>
      <c r="D359">
        <v>0</v>
      </c>
      <c r="E359">
        <v>0</v>
      </c>
      <c r="F359">
        <v>0</v>
      </c>
      <c r="G359">
        <v>0</v>
      </c>
      <c r="H359">
        <v>0</v>
      </c>
      <c r="I359">
        <v>0</v>
      </c>
      <c r="J359">
        <v>0</v>
      </c>
      <c r="K359">
        <v>0</v>
      </c>
      <c r="L359">
        <v>0</v>
      </c>
      <c r="M359">
        <v>0</v>
      </c>
      <c r="N359">
        <v>0</v>
      </c>
      <c r="O359">
        <v>0</v>
      </c>
      <c r="P359">
        <v>0</v>
      </c>
      <c r="Q359">
        <v>0</v>
      </c>
      <c r="R359">
        <v>0</v>
      </c>
      <c r="S359">
        <v>0</v>
      </c>
      <c r="T359">
        <v>0</v>
      </c>
      <c r="U359">
        <v>0</v>
      </c>
      <c r="V359">
        <v>0</v>
      </c>
      <c r="W359">
        <v>0</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v>
      </c>
      <c r="AT359">
        <v>0</v>
      </c>
      <c r="AU359">
        <v>0</v>
      </c>
      <c r="AV359">
        <v>0</v>
      </c>
      <c r="AW359">
        <v>0</v>
      </c>
      <c r="AX359">
        <v>0</v>
      </c>
      <c r="AY359">
        <v>0</v>
      </c>
      <c r="AZ359">
        <v>0</v>
      </c>
      <c r="BA359">
        <v>0</v>
      </c>
      <c r="BB359">
        <v>0</v>
      </c>
      <c r="BC359">
        <v>0</v>
      </c>
      <c r="BD359">
        <v>0</v>
      </c>
      <c r="BE359">
        <v>0</v>
      </c>
      <c r="BF359">
        <v>0</v>
      </c>
      <c r="BG359">
        <v>0</v>
      </c>
      <c r="BH359">
        <v>0</v>
      </c>
      <c r="BI359">
        <v>0</v>
      </c>
      <c r="BJ359">
        <v>0</v>
      </c>
      <c r="BK359">
        <v>0</v>
      </c>
      <c r="BL359">
        <v>0</v>
      </c>
      <c r="BM359">
        <v>0</v>
      </c>
      <c r="BN359">
        <v>0</v>
      </c>
      <c r="BO359">
        <v>0</v>
      </c>
      <c r="BP359">
        <v>0</v>
      </c>
      <c r="BQ359">
        <v>0</v>
      </c>
      <c r="BR359">
        <v>0</v>
      </c>
      <c r="BS359">
        <v>0</v>
      </c>
      <c r="BT359">
        <v>0</v>
      </c>
      <c r="BU359">
        <v>0</v>
      </c>
      <c r="BV359">
        <v>0</v>
      </c>
      <c r="BW359">
        <v>0</v>
      </c>
      <c r="BX359">
        <v>0</v>
      </c>
      <c r="BY359">
        <v>0</v>
      </c>
      <c r="BZ359">
        <v>0</v>
      </c>
      <c r="CA359">
        <v>0</v>
      </c>
      <c r="CB359">
        <v>0</v>
      </c>
    </row>
    <row r="360" spans="1:80" x14ac:dyDescent="0.2">
      <c r="A360">
        <v>0</v>
      </c>
      <c r="B360">
        <v>0</v>
      </c>
      <c r="C360">
        <v>0</v>
      </c>
      <c r="D360">
        <v>0</v>
      </c>
      <c r="E360">
        <v>0</v>
      </c>
      <c r="F360">
        <v>0</v>
      </c>
      <c r="G360">
        <v>0</v>
      </c>
      <c r="H360">
        <v>0</v>
      </c>
      <c r="I360">
        <v>0</v>
      </c>
      <c r="J360">
        <v>0</v>
      </c>
      <c r="K360">
        <v>0</v>
      </c>
      <c r="L360">
        <v>0</v>
      </c>
      <c r="M360">
        <v>0</v>
      </c>
      <c r="N360">
        <v>0</v>
      </c>
      <c r="O360">
        <v>0</v>
      </c>
      <c r="P360">
        <v>0</v>
      </c>
      <c r="Q360">
        <v>0</v>
      </c>
      <c r="R360">
        <v>0</v>
      </c>
      <c r="S360">
        <v>0</v>
      </c>
      <c r="T360">
        <v>0</v>
      </c>
      <c r="U360">
        <v>0</v>
      </c>
      <c r="V360">
        <v>0</v>
      </c>
      <c r="W360">
        <v>0</v>
      </c>
      <c r="X360">
        <v>0</v>
      </c>
      <c r="Y360">
        <v>0</v>
      </c>
      <c r="Z360">
        <v>0</v>
      </c>
      <c r="AA360">
        <v>0</v>
      </c>
      <c r="AB360">
        <v>0</v>
      </c>
      <c r="AC360">
        <v>0</v>
      </c>
      <c r="AD360">
        <v>0</v>
      </c>
      <c r="AE360">
        <v>0</v>
      </c>
      <c r="AF360">
        <v>0</v>
      </c>
      <c r="AG360">
        <v>0</v>
      </c>
      <c r="AH360">
        <v>0</v>
      </c>
      <c r="AI360">
        <v>0</v>
      </c>
      <c r="AJ360">
        <v>0</v>
      </c>
      <c r="AK360">
        <v>0</v>
      </c>
      <c r="AL360">
        <v>0</v>
      </c>
      <c r="AM360">
        <v>0</v>
      </c>
      <c r="AN360">
        <v>0</v>
      </c>
      <c r="AO360">
        <v>0</v>
      </c>
      <c r="AP360">
        <v>0</v>
      </c>
      <c r="AQ360">
        <v>0</v>
      </c>
      <c r="AR360">
        <v>0</v>
      </c>
      <c r="AS360">
        <v>0</v>
      </c>
      <c r="AT360">
        <v>0</v>
      </c>
      <c r="AU360">
        <v>0</v>
      </c>
      <c r="AV360">
        <v>0</v>
      </c>
      <c r="AW360">
        <v>0</v>
      </c>
      <c r="AX360">
        <v>0</v>
      </c>
      <c r="AY360">
        <v>0</v>
      </c>
      <c r="AZ360">
        <v>0</v>
      </c>
      <c r="BA360">
        <v>0</v>
      </c>
      <c r="BB360">
        <v>0</v>
      </c>
      <c r="BC360">
        <v>0</v>
      </c>
      <c r="BD360">
        <v>0</v>
      </c>
      <c r="BE360">
        <v>0</v>
      </c>
      <c r="BF360">
        <v>0</v>
      </c>
      <c r="BG360">
        <v>0</v>
      </c>
      <c r="BH360">
        <v>0</v>
      </c>
      <c r="BI360">
        <v>0</v>
      </c>
      <c r="BJ360">
        <v>0</v>
      </c>
      <c r="BK360">
        <v>0</v>
      </c>
      <c r="BL360">
        <v>0</v>
      </c>
      <c r="BM360">
        <v>0</v>
      </c>
      <c r="BN360">
        <v>0</v>
      </c>
      <c r="BO360">
        <v>0</v>
      </c>
      <c r="BP360">
        <v>0</v>
      </c>
      <c r="BQ360">
        <v>0</v>
      </c>
      <c r="BR360">
        <v>0</v>
      </c>
      <c r="BS360">
        <v>0</v>
      </c>
      <c r="BT360">
        <v>0</v>
      </c>
      <c r="BU360">
        <v>0</v>
      </c>
      <c r="BV360">
        <v>0</v>
      </c>
      <c r="BW360">
        <v>0</v>
      </c>
      <c r="BX360">
        <v>0</v>
      </c>
      <c r="BY360">
        <v>0</v>
      </c>
      <c r="BZ360">
        <v>0</v>
      </c>
      <c r="CA360">
        <v>0</v>
      </c>
      <c r="CB360">
        <v>0</v>
      </c>
    </row>
    <row r="361" spans="1:80" x14ac:dyDescent="0.2">
      <c r="A361">
        <v>0</v>
      </c>
      <c r="B361">
        <v>0</v>
      </c>
      <c r="C361">
        <v>0</v>
      </c>
      <c r="D361">
        <v>0</v>
      </c>
      <c r="E361">
        <v>0</v>
      </c>
      <c r="F361">
        <v>0</v>
      </c>
      <c r="G361">
        <v>0</v>
      </c>
      <c r="H361">
        <v>0</v>
      </c>
      <c r="I361">
        <v>0</v>
      </c>
      <c r="J361">
        <v>0</v>
      </c>
      <c r="K361">
        <v>0</v>
      </c>
      <c r="L361">
        <v>0</v>
      </c>
      <c r="M361">
        <v>0</v>
      </c>
      <c r="N361">
        <v>0</v>
      </c>
      <c r="O361">
        <v>0</v>
      </c>
      <c r="P361">
        <v>0</v>
      </c>
      <c r="Q361">
        <v>0</v>
      </c>
      <c r="R361">
        <v>0</v>
      </c>
      <c r="S361">
        <v>0</v>
      </c>
      <c r="T361">
        <v>0</v>
      </c>
      <c r="U361">
        <v>0</v>
      </c>
      <c r="V361">
        <v>0</v>
      </c>
      <c r="W361">
        <v>0</v>
      </c>
      <c r="X361">
        <v>0</v>
      </c>
      <c r="Y361">
        <v>0</v>
      </c>
      <c r="Z361">
        <v>0</v>
      </c>
      <c r="AA361">
        <v>0</v>
      </c>
      <c r="AB361">
        <v>0</v>
      </c>
      <c r="AC361">
        <v>0</v>
      </c>
      <c r="AD361">
        <v>0</v>
      </c>
      <c r="AE361">
        <v>0</v>
      </c>
      <c r="AF361">
        <v>0</v>
      </c>
      <c r="AG361">
        <v>0</v>
      </c>
      <c r="AH361">
        <v>0</v>
      </c>
      <c r="AI361">
        <v>0</v>
      </c>
      <c r="AJ361">
        <v>0</v>
      </c>
      <c r="AK361">
        <v>0</v>
      </c>
      <c r="AL361">
        <v>0</v>
      </c>
      <c r="AM361">
        <v>0</v>
      </c>
      <c r="AN361">
        <v>0</v>
      </c>
      <c r="AO361">
        <v>0</v>
      </c>
      <c r="AP361">
        <v>0</v>
      </c>
      <c r="AQ361">
        <v>0</v>
      </c>
      <c r="AR361">
        <v>0</v>
      </c>
      <c r="AS361">
        <v>0</v>
      </c>
      <c r="AT361">
        <v>0</v>
      </c>
      <c r="AU361">
        <v>0</v>
      </c>
      <c r="AV361">
        <v>0</v>
      </c>
      <c r="AW361">
        <v>0</v>
      </c>
      <c r="AX361">
        <v>0</v>
      </c>
      <c r="AY361">
        <v>0</v>
      </c>
      <c r="AZ361">
        <v>0</v>
      </c>
      <c r="BA361">
        <v>0</v>
      </c>
      <c r="BB361">
        <v>0</v>
      </c>
      <c r="BC361">
        <v>0</v>
      </c>
      <c r="BD361">
        <v>0</v>
      </c>
      <c r="BE361">
        <v>0</v>
      </c>
      <c r="BF361">
        <v>0</v>
      </c>
      <c r="BG361">
        <v>0</v>
      </c>
      <c r="BH361">
        <v>0</v>
      </c>
      <c r="BI361">
        <v>0</v>
      </c>
      <c r="BJ361">
        <v>0</v>
      </c>
      <c r="BK361">
        <v>0</v>
      </c>
      <c r="BL361">
        <v>0</v>
      </c>
      <c r="BM361">
        <v>0</v>
      </c>
      <c r="BN361">
        <v>0</v>
      </c>
      <c r="BO361">
        <v>0</v>
      </c>
      <c r="BP361">
        <v>0</v>
      </c>
      <c r="BQ361">
        <v>0</v>
      </c>
      <c r="BR361">
        <v>0</v>
      </c>
      <c r="BS361">
        <v>0</v>
      </c>
      <c r="BT361">
        <v>0</v>
      </c>
      <c r="BU361">
        <v>0</v>
      </c>
      <c r="BV361">
        <v>0</v>
      </c>
      <c r="BW361">
        <v>0</v>
      </c>
      <c r="BX361">
        <v>0</v>
      </c>
      <c r="BY361">
        <v>0</v>
      </c>
      <c r="BZ361">
        <v>0</v>
      </c>
      <c r="CA361">
        <v>0</v>
      </c>
      <c r="CB361">
        <v>0</v>
      </c>
    </row>
    <row r="362" spans="1:80" x14ac:dyDescent="0.2">
      <c r="A362">
        <v>0</v>
      </c>
      <c r="B362">
        <v>0</v>
      </c>
      <c r="C362">
        <v>0</v>
      </c>
      <c r="D362">
        <v>0</v>
      </c>
      <c r="E362">
        <v>0</v>
      </c>
      <c r="F362">
        <v>0</v>
      </c>
      <c r="G362">
        <v>0</v>
      </c>
      <c r="H362">
        <v>0</v>
      </c>
      <c r="I362">
        <v>0</v>
      </c>
      <c r="J362">
        <v>0</v>
      </c>
      <c r="K362">
        <v>0</v>
      </c>
      <c r="L362">
        <v>0</v>
      </c>
      <c r="M362">
        <v>0</v>
      </c>
      <c r="N362">
        <v>0</v>
      </c>
      <c r="O362">
        <v>0</v>
      </c>
      <c r="P362">
        <v>0</v>
      </c>
      <c r="Q362">
        <v>0</v>
      </c>
      <c r="R362">
        <v>0</v>
      </c>
      <c r="S362">
        <v>0</v>
      </c>
      <c r="T362">
        <v>0</v>
      </c>
      <c r="U362">
        <v>0</v>
      </c>
      <c r="V362">
        <v>0</v>
      </c>
      <c r="W362">
        <v>0</v>
      </c>
      <c r="X362">
        <v>0</v>
      </c>
      <c r="Y362">
        <v>0</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v>0</v>
      </c>
      <c r="AY362">
        <v>0</v>
      </c>
      <c r="AZ362">
        <v>0</v>
      </c>
      <c r="BA362">
        <v>0</v>
      </c>
      <c r="BB362">
        <v>0</v>
      </c>
      <c r="BC362">
        <v>0</v>
      </c>
      <c r="BD362">
        <v>0</v>
      </c>
      <c r="BE362">
        <v>0</v>
      </c>
      <c r="BF362">
        <v>0</v>
      </c>
      <c r="BG362">
        <v>0</v>
      </c>
      <c r="BH362">
        <v>0</v>
      </c>
      <c r="BI362">
        <v>0</v>
      </c>
      <c r="BJ362">
        <v>0</v>
      </c>
      <c r="BK362">
        <v>0</v>
      </c>
      <c r="BL362">
        <v>0</v>
      </c>
      <c r="BM362">
        <v>0</v>
      </c>
      <c r="BN362">
        <v>0</v>
      </c>
      <c r="BO362">
        <v>0</v>
      </c>
      <c r="BP362">
        <v>0</v>
      </c>
      <c r="BQ362">
        <v>0</v>
      </c>
      <c r="BR362">
        <v>0</v>
      </c>
      <c r="BS362">
        <v>0</v>
      </c>
      <c r="BT362">
        <v>0</v>
      </c>
      <c r="BU362">
        <v>0</v>
      </c>
      <c r="BV362">
        <v>0</v>
      </c>
      <c r="BW362">
        <v>0</v>
      </c>
      <c r="BX362">
        <v>0</v>
      </c>
      <c r="BY362">
        <v>0</v>
      </c>
      <c r="BZ362">
        <v>0</v>
      </c>
      <c r="CA362">
        <v>0</v>
      </c>
      <c r="CB362">
        <v>0</v>
      </c>
    </row>
    <row r="363" spans="1:80" x14ac:dyDescent="0.2">
      <c r="A363">
        <v>0</v>
      </c>
      <c r="B363">
        <v>0</v>
      </c>
      <c r="C363">
        <v>0</v>
      </c>
      <c r="D363">
        <v>0</v>
      </c>
      <c r="E363">
        <v>0</v>
      </c>
      <c r="F363">
        <v>0</v>
      </c>
      <c r="G363">
        <v>0</v>
      </c>
      <c r="H363">
        <v>0</v>
      </c>
      <c r="I363">
        <v>0</v>
      </c>
      <c r="J363">
        <v>0</v>
      </c>
      <c r="K363">
        <v>0</v>
      </c>
      <c r="L363">
        <v>0</v>
      </c>
      <c r="M363">
        <v>0</v>
      </c>
      <c r="N363">
        <v>0</v>
      </c>
      <c r="O363">
        <v>0</v>
      </c>
      <c r="P363">
        <v>0</v>
      </c>
      <c r="Q363">
        <v>0</v>
      </c>
      <c r="R363">
        <v>0</v>
      </c>
      <c r="S363">
        <v>0</v>
      </c>
      <c r="T363">
        <v>0</v>
      </c>
      <c r="U363">
        <v>0</v>
      </c>
      <c r="V363">
        <v>0</v>
      </c>
      <c r="W363">
        <v>0</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v>0</v>
      </c>
      <c r="AT363">
        <v>0</v>
      </c>
      <c r="AU363">
        <v>0</v>
      </c>
      <c r="AV363">
        <v>0</v>
      </c>
      <c r="AW363">
        <v>0</v>
      </c>
      <c r="AX363">
        <v>0</v>
      </c>
      <c r="AY363">
        <v>0</v>
      </c>
      <c r="AZ363">
        <v>0</v>
      </c>
      <c r="BA363">
        <v>0</v>
      </c>
      <c r="BB363">
        <v>0</v>
      </c>
      <c r="BC363">
        <v>0</v>
      </c>
      <c r="BD363">
        <v>0</v>
      </c>
      <c r="BE363">
        <v>0</v>
      </c>
      <c r="BF363">
        <v>0</v>
      </c>
      <c r="BG363">
        <v>0</v>
      </c>
      <c r="BH363">
        <v>0</v>
      </c>
      <c r="BI363">
        <v>0</v>
      </c>
      <c r="BJ363">
        <v>0</v>
      </c>
      <c r="BK363">
        <v>0</v>
      </c>
      <c r="BL363">
        <v>0</v>
      </c>
      <c r="BM363">
        <v>0</v>
      </c>
      <c r="BN363">
        <v>0</v>
      </c>
      <c r="BO363">
        <v>0</v>
      </c>
      <c r="BP363">
        <v>0</v>
      </c>
      <c r="BQ363">
        <v>0</v>
      </c>
      <c r="BR363">
        <v>0</v>
      </c>
      <c r="BS363">
        <v>0</v>
      </c>
      <c r="BT363">
        <v>0</v>
      </c>
      <c r="BU363">
        <v>0</v>
      </c>
      <c r="BV363">
        <v>0</v>
      </c>
      <c r="BW363">
        <v>0</v>
      </c>
      <c r="BX363">
        <v>0</v>
      </c>
      <c r="BY363">
        <v>0</v>
      </c>
      <c r="BZ363">
        <v>0</v>
      </c>
      <c r="CA363">
        <v>0</v>
      </c>
      <c r="CB363">
        <v>0</v>
      </c>
    </row>
    <row r="364" spans="1:80" x14ac:dyDescent="0.2">
      <c r="A364">
        <v>0</v>
      </c>
      <c r="B364">
        <v>0</v>
      </c>
      <c r="C364">
        <v>0</v>
      </c>
      <c r="D364">
        <v>0</v>
      </c>
      <c r="E364">
        <v>0</v>
      </c>
      <c r="F364">
        <v>0</v>
      </c>
      <c r="G364">
        <v>0</v>
      </c>
      <c r="H364">
        <v>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c r="BA364">
        <v>0</v>
      </c>
      <c r="BB364">
        <v>0</v>
      </c>
      <c r="BC364">
        <v>0</v>
      </c>
      <c r="BD364">
        <v>0</v>
      </c>
      <c r="BE364">
        <v>0</v>
      </c>
      <c r="BF364">
        <v>0</v>
      </c>
      <c r="BG364">
        <v>0</v>
      </c>
      <c r="BH364">
        <v>0</v>
      </c>
      <c r="BI364">
        <v>0</v>
      </c>
      <c r="BJ364">
        <v>0</v>
      </c>
      <c r="BK364">
        <v>0</v>
      </c>
      <c r="BL364">
        <v>0</v>
      </c>
      <c r="BM364">
        <v>0</v>
      </c>
      <c r="BN364">
        <v>0</v>
      </c>
      <c r="BO364">
        <v>0</v>
      </c>
      <c r="BP364">
        <v>0</v>
      </c>
      <c r="BQ364">
        <v>0</v>
      </c>
      <c r="BR364">
        <v>0</v>
      </c>
      <c r="BS364">
        <v>0</v>
      </c>
      <c r="BT364">
        <v>0</v>
      </c>
      <c r="BU364">
        <v>0</v>
      </c>
      <c r="BV364">
        <v>0</v>
      </c>
      <c r="BW364">
        <v>0</v>
      </c>
      <c r="BX364">
        <v>0</v>
      </c>
      <c r="BY364">
        <v>0</v>
      </c>
      <c r="BZ364">
        <v>0</v>
      </c>
      <c r="CA364">
        <v>0</v>
      </c>
      <c r="CB364">
        <v>0</v>
      </c>
    </row>
    <row r="365" spans="1:80" x14ac:dyDescent="0.2">
      <c r="A365">
        <v>0</v>
      </c>
      <c r="B365">
        <v>0</v>
      </c>
      <c r="C365">
        <v>0</v>
      </c>
      <c r="D365">
        <v>0</v>
      </c>
      <c r="E365">
        <v>0</v>
      </c>
      <c r="F365">
        <v>0</v>
      </c>
      <c r="G365">
        <v>0</v>
      </c>
      <c r="H365">
        <v>0</v>
      </c>
      <c r="I365">
        <v>0</v>
      </c>
      <c r="J365">
        <v>0</v>
      </c>
      <c r="K365">
        <v>0</v>
      </c>
      <c r="L365">
        <v>0</v>
      </c>
      <c r="M365">
        <v>0</v>
      </c>
      <c r="N365">
        <v>0</v>
      </c>
      <c r="O365">
        <v>0</v>
      </c>
      <c r="P365">
        <v>0</v>
      </c>
      <c r="Q365">
        <v>0</v>
      </c>
      <c r="R365">
        <v>0</v>
      </c>
      <c r="S365">
        <v>0</v>
      </c>
      <c r="T365">
        <v>0</v>
      </c>
      <c r="U365">
        <v>0</v>
      </c>
      <c r="V365">
        <v>0</v>
      </c>
      <c r="W365">
        <v>0</v>
      </c>
      <c r="X365">
        <v>0</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v>0</v>
      </c>
      <c r="AS365">
        <v>0</v>
      </c>
      <c r="AT365">
        <v>0</v>
      </c>
      <c r="AU365">
        <v>0</v>
      </c>
      <c r="AV365">
        <v>0</v>
      </c>
      <c r="AW365">
        <v>0</v>
      </c>
      <c r="AX365">
        <v>0</v>
      </c>
      <c r="AY365">
        <v>0</v>
      </c>
      <c r="AZ365">
        <v>0</v>
      </c>
      <c r="BA365">
        <v>0</v>
      </c>
      <c r="BB365">
        <v>0</v>
      </c>
      <c r="BC365">
        <v>0</v>
      </c>
      <c r="BD365">
        <v>0</v>
      </c>
      <c r="BE365">
        <v>0</v>
      </c>
      <c r="BF365">
        <v>0</v>
      </c>
      <c r="BG365">
        <v>0</v>
      </c>
      <c r="BH365">
        <v>0</v>
      </c>
      <c r="BI365">
        <v>0</v>
      </c>
      <c r="BJ365">
        <v>0</v>
      </c>
      <c r="BK365">
        <v>0</v>
      </c>
      <c r="BL365">
        <v>0</v>
      </c>
      <c r="BM365">
        <v>0</v>
      </c>
      <c r="BN365">
        <v>0</v>
      </c>
      <c r="BO365">
        <v>0</v>
      </c>
      <c r="BP365">
        <v>0</v>
      </c>
      <c r="BQ365">
        <v>0</v>
      </c>
      <c r="BR365">
        <v>0</v>
      </c>
      <c r="BS365">
        <v>0</v>
      </c>
      <c r="BT365">
        <v>0</v>
      </c>
      <c r="BU365">
        <v>0</v>
      </c>
      <c r="BV365">
        <v>0</v>
      </c>
      <c r="BW365">
        <v>0</v>
      </c>
      <c r="BX365">
        <v>0</v>
      </c>
      <c r="BY365">
        <v>0</v>
      </c>
      <c r="BZ365">
        <v>0</v>
      </c>
      <c r="CA365">
        <v>0</v>
      </c>
      <c r="CB365">
        <v>0</v>
      </c>
    </row>
    <row r="366" spans="1:80" x14ac:dyDescent="0.2">
      <c r="A366">
        <v>0</v>
      </c>
      <c r="B366">
        <v>0</v>
      </c>
      <c r="C366">
        <v>0</v>
      </c>
      <c r="D366">
        <v>0</v>
      </c>
      <c r="E366">
        <v>0</v>
      </c>
      <c r="F366">
        <v>0</v>
      </c>
      <c r="G366">
        <v>0</v>
      </c>
      <c r="H366">
        <v>0</v>
      </c>
      <c r="I366">
        <v>0</v>
      </c>
      <c r="J366">
        <v>0</v>
      </c>
      <c r="K366">
        <v>0</v>
      </c>
      <c r="L366">
        <v>0</v>
      </c>
      <c r="M366">
        <v>0</v>
      </c>
      <c r="N366">
        <v>0</v>
      </c>
      <c r="O366">
        <v>0</v>
      </c>
      <c r="P366">
        <v>0</v>
      </c>
      <c r="Q366">
        <v>0</v>
      </c>
      <c r="R366">
        <v>0</v>
      </c>
      <c r="S366">
        <v>0</v>
      </c>
      <c r="T366">
        <v>0</v>
      </c>
      <c r="U366">
        <v>0</v>
      </c>
      <c r="V366">
        <v>0</v>
      </c>
      <c r="W366">
        <v>0</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0</v>
      </c>
      <c r="BD366">
        <v>0</v>
      </c>
      <c r="BE366">
        <v>0</v>
      </c>
      <c r="BF366">
        <v>0</v>
      </c>
      <c r="BG366">
        <v>0</v>
      </c>
      <c r="BH366">
        <v>0</v>
      </c>
      <c r="BI366">
        <v>0</v>
      </c>
      <c r="BJ366">
        <v>0</v>
      </c>
      <c r="BK366">
        <v>0</v>
      </c>
      <c r="BL366">
        <v>0</v>
      </c>
      <c r="BM366">
        <v>0</v>
      </c>
      <c r="BN366">
        <v>0</v>
      </c>
      <c r="BO366">
        <v>0</v>
      </c>
      <c r="BP366">
        <v>0</v>
      </c>
      <c r="BQ366">
        <v>0</v>
      </c>
      <c r="BR366">
        <v>0</v>
      </c>
      <c r="BS366">
        <v>0</v>
      </c>
      <c r="BT366">
        <v>0</v>
      </c>
      <c r="BU366">
        <v>0</v>
      </c>
      <c r="BV366">
        <v>0</v>
      </c>
      <c r="BW366">
        <v>0</v>
      </c>
      <c r="BX366">
        <v>0</v>
      </c>
      <c r="BY366">
        <v>0</v>
      </c>
      <c r="BZ366">
        <v>0</v>
      </c>
      <c r="CA366">
        <v>0</v>
      </c>
      <c r="CB366">
        <v>0</v>
      </c>
    </row>
    <row r="367" spans="1:80" x14ac:dyDescent="0.2">
      <c r="A367">
        <v>0</v>
      </c>
      <c r="B367">
        <v>0</v>
      </c>
      <c r="C367">
        <v>0</v>
      </c>
      <c r="D367">
        <v>0</v>
      </c>
      <c r="E367">
        <v>0</v>
      </c>
      <c r="F367">
        <v>0</v>
      </c>
      <c r="G367">
        <v>0</v>
      </c>
      <c r="H367">
        <v>0</v>
      </c>
      <c r="I367">
        <v>0</v>
      </c>
      <c r="J367">
        <v>0</v>
      </c>
      <c r="K367">
        <v>0</v>
      </c>
      <c r="L367">
        <v>0</v>
      </c>
      <c r="M367">
        <v>0</v>
      </c>
      <c r="N367">
        <v>0</v>
      </c>
      <c r="O367">
        <v>0</v>
      </c>
      <c r="P367">
        <v>0</v>
      </c>
      <c r="Q367">
        <v>0</v>
      </c>
      <c r="R367">
        <v>0</v>
      </c>
      <c r="S367">
        <v>0</v>
      </c>
      <c r="T367">
        <v>0</v>
      </c>
      <c r="U367">
        <v>0</v>
      </c>
      <c r="V367">
        <v>0</v>
      </c>
      <c r="W367">
        <v>0</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v>0</v>
      </c>
      <c r="AW367">
        <v>0</v>
      </c>
      <c r="AX367">
        <v>0</v>
      </c>
      <c r="AY367">
        <v>0</v>
      </c>
      <c r="AZ367">
        <v>0</v>
      </c>
      <c r="BA367">
        <v>0</v>
      </c>
      <c r="BB367">
        <v>0</v>
      </c>
      <c r="BC367">
        <v>0</v>
      </c>
      <c r="BD367">
        <v>0</v>
      </c>
      <c r="BE367">
        <v>0</v>
      </c>
      <c r="BF367">
        <v>0</v>
      </c>
      <c r="BG367">
        <v>0</v>
      </c>
      <c r="BH367">
        <v>0</v>
      </c>
      <c r="BI367">
        <v>0</v>
      </c>
      <c r="BJ367">
        <v>0</v>
      </c>
      <c r="BK367">
        <v>0</v>
      </c>
      <c r="BL367">
        <v>0</v>
      </c>
      <c r="BM367">
        <v>0</v>
      </c>
      <c r="BN367">
        <v>0</v>
      </c>
      <c r="BO367">
        <v>0</v>
      </c>
      <c r="BP367">
        <v>0</v>
      </c>
      <c r="BQ367">
        <v>0</v>
      </c>
      <c r="BR367">
        <v>0</v>
      </c>
      <c r="BS367">
        <v>0</v>
      </c>
      <c r="BT367">
        <v>0</v>
      </c>
      <c r="BU367">
        <v>0</v>
      </c>
      <c r="BV367">
        <v>0</v>
      </c>
      <c r="BW367">
        <v>0</v>
      </c>
      <c r="BX367">
        <v>0</v>
      </c>
      <c r="BY367">
        <v>0</v>
      </c>
      <c r="BZ367">
        <v>0</v>
      </c>
      <c r="CA367">
        <v>0</v>
      </c>
      <c r="CB367">
        <v>0</v>
      </c>
    </row>
    <row r="368" spans="1:80" x14ac:dyDescent="0.2">
      <c r="A368">
        <v>0</v>
      </c>
      <c r="B368">
        <v>0</v>
      </c>
      <c r="C368">
        <v>0</v>
      </c>
      <c r="D368">
        <v>0</v>
      </c>
      <c r="E368">
        <v>0</v>
      </c>
      <c r="F368">
        <v>0</v>
      </c>
      <c r="G368">
        <v>0</v>
      </c>
      <c r="H368">
        <v>0</v>
      </c>
      <c r="I368">
        <v>0</v>
      </c>
      <c r="J368">
        <v>0</v>
      </c>
      <c r="K368">
        <v>0</v>
      </c>
      <c r="L368">
        <v>0</v>
      </c>
      <c r="M368">
        <v>0</v>
      </c>
      <c r="N368">
        <v>0</v>
      </c>
      <c r="O368">
        <v>0</v>
      </c>
      <c r="P368">
        <v>0</v>
      </c>
      <c r="Q368">
        <v>0</v>
      </c>
      <c r="R368">
        <v>0</v>
      </c>
      <c r="S368">
        <v>0</v>
      </c>
      <c r="T368">
        <v>0</v>
      </c>
      <c r="U368">
        <v>0</v>
      </c>
      <c r="V368">
        <v>0</v>
      </c>
      <c r="W368">
        <v>0</v>
      </c>
      <c r="X368">
        <v>0</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v>0</v>
      </c>
      <c r="AS368">
        <v>0</v>
      </c>
      <c r="AT368">
        <v>0</v>
      </c>
      <c r="AU368">
        <v>0</v>
      </c>
      <c r="AV368">
        <v>0</v>
      </c>
      <c r="AW368">
        <v>0</v>
      </c>
      <c r="AX368">
        <v>0</v>
      </c>
      <c r="AY368">
        <v>0</v>
      </c>
      <c r="AZ368">
        <v>0</v>
      </c>
      <c r="BA368">
        <v>0</v>
      </c>
      <c r="BB368">
        <v>0</v>
      </c>
      <c r="BC368">
        <v>0</v>
      </c>
      <c r="BD368">
        <v>0</v>
      </c>
      <c r="BE368">
        <v>0</v>
      </c>
      <c r="BF368">
        <v>0</v>
      </c>
      <c r="BG368">
        <v>0</v>
      </c>
      <c r="BH368">
        <v>0</v>
      </c>
      <c r="BI368">
        <v>0</v>
      </c>
      <c r="BJ368">
        <v>0</v>
      </c>
      <c r="BK368">
        <v>0</v>
      </c>
      <c r="BL368">
        <v>0</v>
      </c>
      <c r="BM368">
        <v>0</v>
      </c>
      <c r="BN368">
        <v>0</v>
      </c>
      <c r="BO368">
        <v>0</v>
      </c>
      <c r="BP368">
        <v>0</v>
      </c>
      <c r="BQ368">
        <v>0</v>
      </c>
      <c r="BR368">
        <v>0</v>
      </c>
      <c r="BS368">
        <v>0</v>
      </c>
      <c r="BT368">
        <v>0</v>
      </c>
      <c r="BU368">
        <v>0</v>
      </c>
      <c r="BV368">
        <v>0</v>
      </c>
      <c r="BW368">
        <v>0</v>
      </c>
      <c r="BX368">
        <v>0</v>
      </c>
      <c r="BY368">
        <v>0</v>
      </c>
      <c r="BZ368">
        <v>0</v>
      </c>
      <c r="CA368">
        <v>0</v>
      </c>
      <c r="CB368">
        <v>0</v>
      </c>
    </row>
    <row r="369" spans="1:80" x14ac:dyDescent="0.2">
      <c r="A369">
        <v>0</v>
      </c>
      <c r="B369">
        <v>0</v>
      </c>
      <c r="C369">
        <v>0</v>
      </c>
      <c r="D369">
        <v>0</v>
      </c>
      <c r="E369">
        <v>0</v>
      </c>
      <c r="F369">
        <v>0</v>
      </c>
      <c r="G369">
        <v>0</v>
      </c>
      <c r="H369">
        <v>0</v>
      </c>
      <c r="I369">
        <v>0</v>
      </c>
      <c r="J369">
        <v>0</v>
      </c>
      <c r="K369">
        <v>0</v>
      </c>
      <c r="L369">
        <v>0</v>
      </c>
      <c r="M369">
        <v>0</v>
      </c>
      <c r="N369">
        <v>0</v>
      </c>
      <c r="O369">
        <v>0</v>
      </c>
      <c r="P369">
        <v>0</v>
      </c>
      <c r="Q369">
        <v>0</v>
      </c>
      <c r="R369">
        <v>0</v>
      </c>
      <c r="S369">
        <v>0</v>
      </c>
      <c r="T369">
        <v>0</v>
      </c>
      <c r="U369">
        <v>0</v>
      </c>
      <c r="V369">
        <v>0</v>
      </c>
      <c r="W369">
        <v>0</v>
      </c>
      <c r="X369">
        <v>0</v>
      </c>
      <c r="Y369">
        <v>0</v>
      </c>
      <c r="Z369">
        <v>0</v>
      </c>
      <c r="AA369">
        <v>0</v>
      </c>
      <c r="AB369">
        <v>0</v>
      </c>
      <c r="AC369">
        <v>0</v>
      </c>
      <c r="AD369">
        <v>0</v>
      </c>
      <c r="AE369">
        <v>0</v>
      </c>
      <c r="AF369">
        <v>0</v>
      </c>
      <c r="AG369">
        <v>0</v>
      </c>
      <c r="AH369">
        <v>0</v>
      </c>
      <c r="AI369">
        <v>0</v>
      </c>
      <c r="AJ369">
        <v>0</v>
      </c>
      <c r="AK369">
        <v>0</v>
      </c>
      <c r="AL369">
        <v>0</v>
      </c>
      <c r="AM369">
        <v>0</v>
      </c>
      <c r="AN369">
        <v>0</v>
      </c>
      <c r="AO369">
        <v>0</v>
      </c>
      <c r="AP369">
        <v>0</v>
      </c>
      <c r="AQ369">
        <v>0</v>
      </c>
      <c r="AR369">
        <v>0</v>
      </c>
      <c r="AS369">
        <v>0</v>
      </c>
      <c r="AT369">
        <v>0</v>
      </c>
      <c r="AU369">
        <v>0</v>
      </c>
      <c r="AV369">
        <v>0</v>
      </c>
      <c r="AW369">
        <v>0</v>
      </c>
      <c r="AX369">
        <v>0</v>
      </c>
      <c r="AY369">
        <v>0</v>
      </c>
      <c r="AZ369">
        <v>0</v>
      </c>
      <c r="BA369">
        <v>0</v>
      </c>
      <c r="BB369">
        <v>0</v>
      </c>
      <c r="BC369">
        <v>0</v>
      </c>
      <c r="BD369">
        <v>0</v>
      </c>
      <c r="BE369">
        <v>0</v>
      </c>
      <c r="BF369">
        <v>0</v>
      </c>
      <c r="BG369">
        <v>0</v>
      </c>
      <c r="BH369">
        <v>0</v>
      </c>
      <c r="BI369">
        <v>0</v>
      </c>
      <c r="BJ369">
        <v>0</v>
      </c>
      <c r="BK369">
        <v>0</v>
      </c>
      <c r="BL369">
        <v>0</v>
      </c>
      <c r="BM369">
        <v>0</v>
      </c>
      <c r="BN369">
        <v>0</v>
      </c>
      <c r="BO369">
        <v>0</v>
      </c>
      <c r="BP369">
        <v>0</v>
      </c>
      <c r="BQ369">
        <v>0</v>
      </c>
      <c r="BR369">
        <v>0</v>
      </c>
      <c r="BS369">
        <v>0</v>
      </c>
      <c r="BT369">
        <v>0</v>
      </c>
      <c r="BU369">
        <v>0</v>
      </c>
      <c r="BV369">
        <v>0</v>
      </c>
      <c r="BW369">
        <v>0</v>
      </c>
      <c r="BX369">
        <v>0</v>
      </c>
      <c r="BY369">
        <v>0</v>
      </c>
      <c r="BZ369">
        <v>0</v>
      </c>
      <c r="CA369">
        <v>0</v>
      </c>
      <c r="CB369">
        <v>0</v>
      </c>
    </row>
    <row r="370" spans="1:80" x14ac:dyDescent="0.2">
      <c r="A370">
        <v>0</v>
      </c>
      <c r="B370">
        <v>0</v>
      </c>
      <c r="C370">
        <v>0</v>
      </c>
      <c r="D370">
        <v>0</v>
      </c>
      <c r="E370">
        <v>0</v>
      </c>
      <c r="F370">
        <v>0</v>
      </c>
      <c r="G370">
        <v>0</v>
      </c>
      <c r="H370">
        <v>0</v>
      </c>
      <c r="I370">
        <v>0</v>
      </c>
      <c r="J370">
        <v>0</v>
      </c>
      <c r="K370">
        <v>0</v>
      </c>
      <c r="L370">
        <v>0</v>
      </c>
      <c r="M370">
        <v>0</v>
      </c>
      <c r="N370">
        <v>0</v>
      </c>
      <c r="O370">
        <v>0</v>
      </c>
      <c r="P370">
        <v>0</v>
      </c>
      <c r="Q370">
        <v>0</v>
      </c>
      <c r="R370">
        <v>0</v>
      </c>
      <c r="S370">
        <v>0</v>
      </c>
      <c r="T370">
        <v>0</v>
      </c>
      <c r="U370">
        <v>0</v>
      </c>
      <c r="V370">
        <v>0</v>
      </c>
      <c r="W370">
        <v>0</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v>0</v>
      </c>
      <c r="AS370">
        <v>0</v>
      </c>
      <c r="AT370">
        <v>0</v>
      </c>
      <c r="AU370">
        <v>0</v>
      </c>
      <c r="AV370">
        <v>0</v>
      </c>
      <c r="AW370">
        <v>0</v>
      </c>
      <c r="AX370">
        <v>0</v>
      </c>
      <c r="AY370">
        <v>0</v>
      </c>
      <c r="AZ370">
        <v>0</v>
      </c>
      <c r="BA370">
        <v>0</v>
      </c>
      <c r="BB370">
        <v>0</v>
      </c>
      <c r="BC370">
        <v>0</v>
      </c>
      <c r="BD370">
        <v>0</v>
      </c>
      <c r="BE370">
        <v>0</v>
      </c>
      <c r="BF370">
        <v>0</v>
      </c>
      <c r="BG370">
        <v>0</v>
      </c>
      <c r="BH370">
        <v>0</v>
      </c>
      <c r="BI370">
        <v>0</v>
      </c>
      <c r="BJ370">
        <v>0</v>
      </c>
      <c r="BK370">
        <v>0</v>
      </c>
      <c r="BL370">
        <v>0</v>
      </c>
      <c r="BM370">
        <v>0</v>
      </c>
      <c r="BN370">
        <v>0</v>
      </c>
      <c r="BO370">
        <v>0</v>
      </c>
      <c r="BP370">
        <v>0</v>
      </c>
      <c r="BQ370">
        <v>0</v>
      </c>
      <c r="BR370">
        <v>0</v>
      </c>
      <c r="BS370">
        <v>0</v>
      </c>
      <c r="BT370">
        <v>0</v>
      </c>
      <c r="BU370">
        <v>0</v>
      </c>
      <c r="BV370">
        <v>0</v>
      </c>
      <c r="BW370">
        <v>0</v>
      </c>
      <c r="BX370">
        <v>0</v>
      </c>
      <c r="BY370">
        <v>0</v>
      </c>
      <c r="BZ370">
        <v>0</v>
      </c>
      <c r="CA370">
        <v>0</v>
      </c>
      <c r="CB370">
        <v>0</v>
      </c>
    </row>
    <row r="371" spans="1:80" x14ac:dyDescent="0.2">
      <c r="A371">
        <v>0</v>
      </c>
      <c r="B371">
        <v>0</v>
      </c>
      <c r="C371">
        <v>0</v>
      </c>
      <c r="D371">
        <v>0</v>
      </c>
      <c r="E371">
        <v>0</v>
      </c>
      <c r="F371">
        <v>0</v>
      </c>
      <c r="G371">
        <v>0</v>
      </c>
      <c r="H371">
        <v>0</v>
      </c>
      <c r="I371">
        <v>0</v>
      </c>
      <c r="J371">
        <v>0</v>
      </c>
      <c r="K371">
        <v>0</v>
      </c>
      <c r="L371">
        <v>0</v>
      </c>
      <c r="M371">
        <v>0</v>
      </c>
      <c r="N371">
        <v>0</v>
      </c>
      <c r="O371">
        <v>0</v>
      </c>
      <c r="P371">
        <v>0</v>
      </c>
      <c r="Q371">
        <v>0</v>
      </c>
      <c r="R371">
        <v>0</v>
      </c>
      <c r="S371">
        <v>0</v>
      </c>
      <c r="T371">
        <v>0</v>
      </c>
      <c r="U371">
        <v>0</v>
      </c>
      <c r="V371">
        <v>0</v>
      </c>
      <c r="W371">
        <v>0</v>
      </c>
      <c r="X371">
        <v>0</v>
      </c>
      <c r="Y371">
        <v>0</v>
      </c>
      <c r="Z371">
        <v>0</v>
      </c>
      <c r="AA371">
        <v>0</v>
      </c>
      <c r="AB371">
        <v>0</v>
      </c>
      <c r="AC371">
        <v>0</v>
      </c>
      <c r="AD371">
        <v>0</v>
      </c>
      <c r="AE371">
        <v>0</v>
      </c>
      <c r="AF371">
        <v>0</v>
      </c>
      <c r="AG371">
        <v>0</v>
      </c>
      <c r="AH371">
        <v>0</v>
      </c>
      <c r="AI371">
        <v>0</v>
      </c>
      <c r="AJ371">
        <v>0</v>
      </c>
      <c r="AK371">
        <v>0</v>
      </c>
      <c r="AL371">
        <v>0</v>
      </c>
      <c r="AM371">
        <v>0</v>
      </c>
      <c r="AN371">
        <v>0</v>
      </c>
      <c r="AO371">
        <v>0</v>
      </c>
      <c r="AP371">
        <v>0</v>
      </c>
      <c r="AQ371">
        <v>0</v>
      </c>
      <c r="AR371">
        <v>0</v>
      </c>
      <c r="AS371">
        <v>0</v>
      </c>
      <c r="AT371">
        <v>0</v>
      </c>
      <c r="AU371">
        <v>0</v>
      </c>
      <c r="AV371">
        <v>0</v>
      </c>
      <c r="AW371">
        <v>0</v>
      </c>
      <c r="AX371">
        <v>0</v>
      </c>
      <c r="AY371">
        <v>0</v>
      </c>
      <c r="AZ371">
        <v>0</v>
      </c>
      <c r="BA371">
        <v>0</v>
      </c>
      <c r="BB371">
        <v>0</v>
      </c>
      <c r="BC371">
        <v>0</v>
      </c>
      <c r="BD371">
        <v>0</v>
      </c>
      <c r="BE371">
        <v>0</v>
      </c>
      <c r="BF371">
        <v>0</v>
      </c>
      <c r="BG371">
        <v>0</v>
      </c>
      <c r="BH371">
        <v>0</v>
      </c>
      <c r="BI371">
        <v>0</v>
      </c>
      <c r="BJ371">
        <v>0</v>
      </c>
      <c r="BK371">
        <v>0</v>
      </c>
      <c r="BL371">
        <v>0</v>
      </c>
      <c r="BM371">
        <v>0</v>
      </c>
      <c r="BN371">
        <v>0</v>
      </c>
      <c r="BO371">
        <v>0</v>
      </c>
      <c r="BP371">
        <v>0</v>
      </c>
      <c r="BQ371">
        <v>0</v>
      </c>
      <c r="BR371">
        <v>0</v>
      </c>
      <c r="BS371">
        <v>0</v>
      </c>
      <c r="BT371">
        <v>0</v>
      </c>
      <c r="BU371">
        <v>0</v>
      </c>
      <c r="BV371">
        <v>0</v>
      </c>
      <c r="BW371">
        <v>0</v>
      </c>
      <c r="BX371">
        <v>0</v>
      </c>
      <c r="BY371">
        <v>0</v>
      </c>
      <c r="BZ371">
        <v>0</v>
      </c>
      <c r="CA371">
        <v>0</v>
      </c>
      <c r="CB371">
        <v>0</v>
      </c>
    </row>
    <row r="372" spans="1:80" x14ac:dyDescent="0.2">
      <c r="A372">
        <v>0</v>
      </c>
      <c r="B372">
        <v>0</v>
      </c>
      <c r="C372">
        <v>0</v>
      </c>
      <c r="D372">
        <v>0</v>
      </c>
      <c r="E372">
        <v>0</v>
      </c>
      <c r="F372">
        <v>0</v>
      </c>
      <c r="G372">
        <v>0</v>
      </c>
      <c r="H372">
        <v>0</v>
      </c>
      <c r="I372">
        <v>0</v>
      </c>
      <c r="J372">
        <v>0</v>
      </c>
      <c r="K372">
        <v>0</v>
      </c>
      <c r="L372">
        <v>0</v>
      </c>
      <c r="M372">
        <v>0</v>
      </c>
      <c r="N372">
        <v>0</v>
      </c>
      <c r="O372">
        <v>0</v>
      </c>
      <c r="P372">
        <v>0</v>
      </c>
      <c r="Q372">
        <v>0</v>
      </c>
      <c r="R372">
        <v>0</v>
      </c>
      <c r="S372">
        <v>0</v>
      </c>
      <c r="T372">
        <v>0</v>
      </c>
      <c r="U372">
        <v>0</v>
      </c>
      <c r="V372">
        <v>0</v>
      </c>
      <c r="W372">
        <v>0</v>
      </c>
      <c r="X372">
        <v>0</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v>0</v>
      </c>
      <c r="AT372">
        <v>0</v>
      </c>
      <c r="AU372">
        <v>0</v>
      </c>
      <c r="AV372">
        <v>0</v>
      </c>
      <c r="AW372">
        <v>0</v>
      </c>
      <c r="AX372">
        <v>0</v>
      </c>
      <c r="AY372">
        <v>0</v>
      </c>
      <c r="AZ372">
        <v>0</v>
      </c>
      <c r="BA372">
        <v>0</v>
      </c>
      <c r="BB372">
        <v>0</v>
      </c>
      <c r="BC372">
        <v>0</v>
      </c>
      <c r="BD372">
        <v>0</v>
      </c>
      <c r="BE372">
        <v>0</v>
      </c>
      <c r="BF372">
        <v>0</v>
      </c>
      <c r="BG372">
        <v>0</v>
      </c>
      <c r="BH372">
        <v>0</v>
      </c>
      <c r="BI372">
        <v>0</v>
      </c>
      <c r="BJ372">
        <v>0</v>
      </c>
      <c r="BK372">
        <v>0</v>
      </c>
      <c r="BL372">
        <v>0</v>
      </c>
      <c r="BM372">
        <v>0</v>
      </c>
      <c r="BN372">
        <v>0</v>
      </c>
      <c r="BO372">
        <v>0</v>
      </c>
      <c r="BP372">
        <v>0</v>
      </c>
      <c r="BQ372">
        <v>0</v>
      </c>
      <c r="BR372">
        <v>0</v>
      </c>
      <c r="BS372">
        <v>0</v>
      </c>
      <c r="BT372">
        <v>0</v>
      </c>
      <c r="BU372">
        <v>0</v>
      </c>
      <c r="BV372">
        <v>0</v>
      </c>
      <c r="BW372">
        <v>0</v>
      </c>
      <c r="BX372">
        <v>0</v>
      </c>
      <c r="BY372">
        <v>0</v>
      </c>
      <c r="BZ372">
        <v>0</v>
      </c>
      <c r="CA372">
        <v>0</v>
      </c>
      <c r="CB372">
        <v>0</v>
      </c>
    </row>
    <row r="373" spans="1:80" x14ac:dyDescent="0.2">
      <c r="A373">
        <v>0</v>
      </c>
      <c r="B373">
        <v>0</v>
      </c>
      <c r="C373">
        <v>0</v>
      </c>
      <c r="D373">
        <v>0</v>
      </c>
      <c r="E373">
        <v>0</v>
      </c>
      <c r="F373">
        <v>0</v>
      </c>
      <c r="G373">
        <v>0</v>
      </c>
      <c r="H373">
        <v>0</v>
      </c>
      <c r="I373">
        <v>0</v>
      </c>
      <c r="J373">
        <v>0</v>
      </c>
      <c r="K373">
        <v>0</v>
      </c>
      <c r="L373">
        <v>0</v>
      </c>
      <c r="M373">
        <v>0</v>
      </c>
      <c r="N373">
        <v>0</v>
      </c>
      <c r="O373">
        <v>0</v>
      </c>
      <c r="P373">
        <v>0</v>
      </c>
      <c r="Q373">
        <v>0</v>
      </c>
      <c r="R373">
        <v>0</v>
      </c>
      <c r="S373">
        <v>0</v>
      </c>
      <c r="T373">
        <v>0</v>
      </c>
      <c r="U373">
        <v>0</v>
      </c>
      <c r="V373">
        <v>0</v>
      </c>
      <c r="W373">
        <v>0</v>
      </c>
      <c r="X373">
        <v>0</v>
      </c>
      <c r="Y373">
        <v>0</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v>0</v>
      </c>
      <c r="AS373">
        <v>0</v>
      </c>
      <c r="AT373">
        <v>0</v>
      </c>
      <c r="AU373">
        <v>0</v>
      </c>
      <c r="AV373">
        <v>0</v>
      </c>
      <c r="AW373">
        <v>0</v>
      </c>
      <c r="AX373">
        <v>0</v>
      </c>
      <c r="AY373">
        <v>0</v>
      </c>
      <c r="AZ373">
        <v>0</v>
      </c>
      <c r="BA373">
        <v>0</v>
      </c>
      <c r="BB373">
        <v>0</v>
      </c>
      <c r="BC373">
        <v>0</v>
      </c>
      <c r="BD373">
        <v>0</v>
      </c>
      <c r="BE373">
        <v>0</v>
      </c>
      <c r="BF373">
        <v>0</v>
      </c>
      <c r="BG373">
        <v>0</v>
      </c>
      <c r="BH373">
        <v>0</v>
      </c>
      <c r="BI373">
        <v>0</v>
      </c>
      <c r="BJ373">
        <v>0</v>
      </c>
      <c r="BK373">
        <v>0</v>
      </c>
      <c r="BL373">
        <v>0</v>
      </c>
      <c r="BM373">
        <v>0</v>
      </c>
      <c r="BN373">
        <v>0</v>
      </c>
      <c r="BO373">
        <v>0</v>
      </c>
      <c r="BP373">
        <v>0</v>
      </c>
      <c r="BQ373">
        <v>0</v>
      </c>
      <c r="BR373">
        <v>0</v>
      </c>
      <c r="BS373">
        <v>0</v>
      </c>
      <c r="BT373">
        <v>0</v>
      </c>
      <c r="BU373">
        <v>0</v>
      </c>
      <c r="BV373">
        <v>0</v>
      </c>
      <c r="BW373">
        <v>0</v>
      </c>
      <c r="BX373">
        <v>0</v>
      </c>
      <c r="BY373">
        <v>0</v>
      </c>
      <c r="BZ373">
        <v>0</v>
      </c>
      <c r="CA373">
        <v>0</v>
      </c>
      <c r="CB373">
        <v>0</v>
      </c>
    </row>
    <row r="374" spans="1:80" x14ac:dyDescent="0.2">
      <c r="A374">
        <v>0</v>
      </c>
      <c r="B374">
        <v>0</v>
      </c>
      <c r="C374">
        <v>0</v>
      </c>
      <c r="D374">
        <v>0</v>
      </c>
      <c r="E374">
        <v>0</v>
      </c>
      <c r="F374">
        <v>0</v>
      </c>
      <c r="G374">
        <v>0</v>
      </c>
      <c r="H374">
        <v>0</v>
      </c>
      <c r="I374">
        <v>0</v>
      </c>
      <c r="J374">
        <v>0</v>
      </c>
      <c r="K374">
        <v>0</v>
      </c>
      <c r="L374">
        <v>0</v>
      </c>
      <c r="M374">
        <v>0</v>
      </c>
      <c r="N374">
        <v>0</v>
      </c>
      <c r="O374">
        <v>0</v>
      </c>
      <c r="P374">
        <v>0</v>
      </c>
      <c r="Q374">
        <v>0</v>
      </c>
      <c r="R374">
        <v>0</v>
      </c>
      <c r="S374">
        <v>0</v>
      </c>
      <c r="T374">
        <v>0</v>
      </c>
      <c r="U374">
        <v>0</v>
      </c>
      <c r="V374">
        <v>0</v>
      </c>
      <c r="W374">
        <v>0</v>
      </c>
      <c r="X374">
        <v>0</v>
      </c>
      <c r="Y374">
        <v>0</v>
      </c>
      <c r="Z374">
        <v>0</v>
      </c>
      <c r="AA374">
        <v>0</v>
      </c>
      <c r="AB374">
        <v>0</v>
      </c>
      <c r="AC374">
        <v>0</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v>0</v>
      </c>
      <c r="AY374">
        <v>0</v>
      </c>
      <c r="AZ374">
        <v>0</v>
      </c>
      <c r="BA374">
        <v>0</v>
      </c>
      <c r="BB374">
        <v>0</v>
      </c>
      <c r="BC374">
        <v>0</v>
      </c>
      <c r="BD374">
        <v>0</v>
      </c>
      <c r="BE374">
        <v>0</v>
      </c>
      <c r="BF374">
        <v>0</v>
      </c>
      <c r="BG374">
        <v>0</v>
      </c>
      <c r="BH374">
        <v>0</v>
      </c>
      <c r="BI374">
        <v>0</v>
      </c>
      <c r="BJ374">
        <v>0</v>
      </c>
      <c r="BK374">
        <v>0</v>
      </c>
      <c r="BL374">
        <v>0</v>
      </c>
      <c r="BM374">
        <v>0</v>
      </c>
      <c r="BN374">
        <v>0</v>
      </c>
      <c r="BO374">
        <v>0</v>
      </c>
      <c r="BP374">
        <v>0</v>
      </c>
      <c r="BQ374">
        <v>0</v>
      </c>
      <c r="BR374">
        <v>0</v>
      </c>
      <c r="BS374">
        <v>0</v>
      </c>
      <c r="BT374">
        <v>0</v>
      </c>
      <c r="BU374">
        <v>0</v>
      </c>
      <c r="BV374">
        <v>0</v>
      </c>
      <c r="BW374">
        <v>0</v>
      </c>
      <c r="BX374">
        <v>0</v>
      </c>
      <c r="BY374">
        <v>0</v>
      </c>
      <c r="BZ374">
        <v>0</v>
      </c>
      <c r="CA374">
        <v>0</v>
      </c>
      <c r="CB374">
        <v>0</v>
      </c>
    </row>
    <row r="375" spans="1:80" x14ac:dyDescent="0.2">
      <c r="A375">
        <v>0</v>
      </c>
      <c r="B375">
        <v>0</v>
      </c>
      <c r="C375">
        <v>0</v>
      </c>
      <c r="D375">
        <v>0</v>
      </c>
      <c r="E375">
        <v>0</v>
      </c>
      <c r="F375">
        <v>0</v>
      </c>
      <c r="G375">
        <v>0</v>
      </c>
      <c r="H375">
        <v>0</v>
      </c>
      <c r="I375">
        <v>0</v>
      </c>
      <c r="J375">
        <v>0</v>
      </c>
      <c r="K375">
        <v>0</v>
      </c>
      <c r="L375">
        <v>0</v>
      </c>
      <c r="M375">
        <v>0</v>
      </c>
      <c r="N375">
        <v>0</v>
      </c>
      <c r="O375">
        <v>0</v>
      </c>
      <c r="P375">
        <v>0</v>
      </c>
      <c r="Q375">
        <v>0</v>
      </c>
      <c r="R375">
        <v>0</v>
      </c>
      <c r="S375">
        <v>0</v>
      </c>
      <c r="T375">
        <v>0</v>
      </c>
      <c r="U375">
        <v>0</v>
      </c>
      <c r="V375">
        <v>0</v>
      </c>
      <c r="W375">
        <v>0</v>
      </c>
      <c r="X375">
        <v>0</v>
      </c>
      <c r="Y375">
        <v>0</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v>0</v>
      </c>
      <c r="AS375">
        <v>0</v>
      </c>
      <c r="AT375">
        <v>0</v>
      </c>
      <c r="AU375">
        <v>0</v>
      </c>
      <c r="AV375">
        <v>0</v>
      </c>
      <c r="AW375">
        <v>0</v>
      </c>
      <c r="AX375">
        <v>0</v>
      </c>
      <c r="AY375">
        <v>0</v>
      </c>
      <c r="AZ375">
        <v>0</v>
      </c>
      <c r="BA375">
        <v>0</v>
      </c>
      <c r="BB375">
        <v>0</v>
      </c>
      <c r="BC375">
        <v>0</v>
      </c>
      <c r="BD375">
        <v>0</v>
      </c>
      <c r="BE375">
        <v>0</v>
      </c>
      <c r="BF375">
        <v>0</v>
      </c>
      <c r="BG375">
        <v>0</v>
      </c>
      <c r="BH375">
        <v>0</v>
      </c>
      <c r="BI375">
        <v>0</v>
      </c>
      <c r="BJ375">
        <v>0</v>
      </c>
      <c r="BK375">
        <v>0</v>
      </c>
      <c r="BL375">
        <v>0</v>
      </c>
      <c r="BM375">
        <v>0</v>
      </c>
      <c r="BN375">
        <v>0</v>
      </c>
      <c r="BO375">
        <v>0</v>
      </c>
      <c r="BP375">
        <v>0</v>
      </c>
      <c r="BQ375">
        <v>0</v>
      </c>
      <c r="BR375">
        <v>0</v>
      </c>
      <c r="BS375">
        <v>0</v>
      </c>
      <c r="BT375">
        <v>0</v>
      </c>
      <c r="BU375">
        <v>0</v>
      </c>
      <c r="BV375">
        <v>0</v>
      </c>
      <c r="BW375">
        <v>0</v>
      </c>
      <c r="BX375">
        <v>0</v>
      </c>
      <c r="BY375">
        <v>0</v>
      </c>
      <c r="BZ375">
        <v>0</v>
      </c>
      <c r="CA375">
        <v>0</v>
      </c>
      <c r="CB375">
        <v>0</v>
      </c>
    </row>
    <row r="376" spans="1:80" x14ac:dyDescent="0.2">
      <c r="A376">
        <v>0</v>
      </c>
      <c r="B376">
        <v>0</v>
      </c>
      <c r="C376">
        <v>0</v>
      </c>
      <c r="D376">
        <v>0</v>
      </c>
      <c r="E376">
        <v>0</v>
      </c>
      <c r="F376">
        <v>0</v>
      </c>
      <c r="G376">
        <v>0</v>
      </c>
      <c r="H376">
        <v>0</v>
      </c>
      <c r="I376">
        <v>0</v>
      </c>
      <c r="J376">
        <v>0</v>
      </c>
      <c r="K376">
        <v>0</v>
      </c>
      <c r="L376">
        <v>0</v>
      </c>
      <c r="M376">
        <v>0</v>
      </c>
      <c r="N376">
        <v>0</v>
      </c>
      <c r="O376">
        <v>0</v>
      </c>
      <c r="P376">
        <v>0</v>
      </c>
      <c r="Q376">
        <v>0</v>
      </c>
      <c r="R376">
        <v>0</v>
      </c>
      <c r="S376">
        <v>0</v>
      </c>
      <c r="T376">
        <v>0</v>
      </c>
      <c r="U376">
        <v>0</v>
      </c>
      <c r="V376">
        <v>0</v>
      </c>
      <c r="W376">
        <v>0</v>
      </c>
      <c r="X376">
        <v>0</v>
      </c>
      <c r="Y376">
        <v>0</v>
      </c>
      <c r="Z376">
        <v>0</v>
      </c>
      <c r="AA376">
        <v>0</v>
      </c>
      <c r="AB376">
        <v>0</v>
      </c>
      <c r="AC376">
        <v>0</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0</v>
      </c>
      <c r="AX376">
        <v>0</v>
      </c>
      <c r="AY376">
        <v>0</v>
      </c>
      <c r="AZ376">
        <v>0</v>
      </c>
      <c r="BA376">
        <v>0</v>
      </c>
      <c r="BB376">
        <v>0</v>
      </c>
      <c r="BC376">
        <v>0</v>
      </c>
      <c r="BD376">
        <v>0</v>
      </c>
      <c r="BE376">
        <v>0</v>
      </c>
      <c r="BF376">
        <v>0</v>
      </c>
      <c r="BG376">
        <v>0</v>
      </c>
      <c r="BH376">
        <v>0</v>
      </c>
      <c r="BI376">
        <v>0</v>
      </c>
      <c r="BJ376">
        <v>0</v>
      </c>
      <c r="BK376">
        <v>0</v>
      </c>
      <c r="BL376">
        <v>0</v>
      </c>
      <c r="BM376">
        <v>0</v>
      </c>
      <c r="BN376">
        <v>0</v>
      </c>
      <c r="BO376">
        <v>0</v>
      </c>
      <c r="BP376">
        <v>0</v>
      </c>
      <c r="BQ376">
        <v>0</v>
      </c>
      <c r="BR376">
        <v>0</v>
      </c>
      <c r="BS376">
        <v>0</v>
      </c>
      <c r="BT376">
        <v>0</v>
      </c>
      <c r="BU376">
        <v>0</v>
      </c>
      <c r="BV376">
        <v>0</v>
      </c>
      <c r="BW376">
        <v>0</v>
      </c>
      <c r="BX376">
        <v>0</v>
      </c>
      <c r="BY376">
        <v>0</v>
      </c>
      <c r="BZ376">
        <v>0</v>
      </c>
      <c r="CA376">
        <v>0</v>
      </c>
      <c r="CB376">
        <v>0</v>
      </c>
    </row>
    <row r="377" spans="1:80" x14ac:dyDescent="0.2">
      <c r="A377">
        <v>0</v>
      </c>
      <c r="B377">
        <v>0</v>
      </c>
      <c r="C377">
        <v>0</v>
      </c>
      <c r="D377">
        <v>0</v>
      </c>
      <c r="E377">
        <v>0</v>
      </c>
      <c r="F377">
        <v>0</v>
      </c>
      <c r="G377">
        <v>0</v>
      </c>
      <c r="H377">
        <v>0</v>
      </c>
      <c r="I377">
        <v>0</v>
      </c>
      <c r="J377">
        <v>0</v>
      </c>
      <c r="K377">
        <v>0</v>
      </c>
      <c r="L377">
        <v>0</v>
      </c>
      <c r="M377">
        <v>0</v>
      </c>
      <c r="N377">
        <v>0</v>
      </c>
      <c r="O377">
        <v>0</v>
      </c>
      <c r="P377">
        <v>0</v>
      </c>
      <c r="Q377">
        <v>0</v>
      </c>
      <c r="R377">
        <v>0</v>
      </c>
      <c r="S377">
        <v>0</v>
      </c>
      <c r="T377">
        <v>0</v>
      </c>
      <c r="U377">
        <v>0</v>
      </c>
      <c r="V377">
        <v>0</v>
      </c>
      <c r="W377">
        <v>0</v>
      </c>
      <c r="X377">
        <v>0</v>
      </c>
      <c r="Y377">
        <v>0</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v>0</v>
      </c>
      <c r="AS377">
        <v>0</v>
      </c>
      <c r="AT377">
        <v>0</v>
      </c>
      <c r="AU377">
        <v>0</v>
      </c>
      <c r="AV377">
        <v>0</v>
      </c>
      <c r="AW377">
        <v>0</v>
      </c>
      <c r="AX377">
        <v>0</v>
      </c>
      <c r="AY377">
        <v>0</v>
      </c>
      <c r="AZ377">
        <v>0</v>
      </c>
      <c r="BA377">
        <v>0</v>
      </c>
      <c r="BB377">
        <v>0</v>
      </c>
      <c r="BC377">
        <v>0</v>
      </c>
      <c r="BD377">
        <v>0</v>
      </c>
      <c r="BE377">
        <v>0</v>
      </c>
      <c r="BF377">
        <v>0</v>
      </c>
      <c r="BG377">
        <v>0</v>
      </c>
      <c r="BH377">
        <v>0</v>
      </c>
      <c r="BI377">
        <v>0</v>
      </c>
      <c r="BJ377">
        <v>0</v>
      </c>
      <c r="BK377">
        <v>0</v>
      </c>
      <c r="BL377">
        <v>0</v>
      </c>
      <c r="BM377">
        <v>0</v>
      </c>
      <c r="BN377">
        <v>0</v>
      </c>
      <c r="BO377">
        <v>0</v>
      </c>
      <c r="BP377">
        <v>0</v>
      </c>
      <c r="BQ377">
        <v>0</v>
      </c>
      <c r="BR377">
        <v>0</v>
      </c>
      <c r="BS377">
        <v>0</v>
      </c>
      <c r="BT377">
        <v>0</v>
      </c>
      <c r="BU377">
        <v>0</v>
      </c>
      <c r="BV377">
        <v>0</v>
      </c>
      <c r="BW377">
        <v>0</v>
      </c>
      <c r="BX377">
        <v>0</v>
      </c>
      <c r="BY377">
        <v>0</v>
      </c>
      <c r="BZ377">
        <v>0</v>
      </c>
      <c r="CA377">
        <v>0</v>
      </c>
      <c r="CB377">
        <v>0</v>
      </c>
    </row>
    <row r="378" spans="1:80" x14ac:dyDescent="0.2">
      <c r="A378">
        <v>0</v>
      </c>
      <c r="B378">
        <v>0</v>
      </c>
      <c r="C378">
        <v>0</v>
      </c>
      <c r="D378">
        <v>0</v>
      </c>
      <c r="E378">
        <v>0</v>
      </c>
      <c r="F378">
        <v>0</v>
      </c>
      <c r="G378">
        <v>0</v>
      </c>
      <c r="H378">
        <v>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v>0</v>
      </c>
      <c r="AT378">
        <v>0</v>
      </c>
      <c r="AU378">
        <v>0</v>
      </c>
      <c r="AV378">
        <v>0</v>
      </c>
      <c r="AW378">
        <v>0</v>
      </c>
      <c r="AX378">
        <v>0</v>
      </c>
      <c r="AY378">
        <v>0</v>
      </c>
      <c r="AZ378">
        <v>0</v>
      </c>
      <c r="BA378">
        <v>0</v>
      </c>
      <c r="BB378">
        <v>0</v>
      </c>
      <c r="BC378">
        <v>0</v>
      </c>
      <c r="BD378">
        <v>0</v>
      </c>
      <c r="BE378">
        <v>0</v>
      </c>
      <c r="BF378">
        <v>0</v>
      </c>
      <c r="BG378">
        <v>0</v>
      </c>
      <c r="BH378">
        <v>0</v>
      </c>
      <c r="BI378">
        <v>0</v>
      </c>
      <c r="BJ378">
        <v>0</v>
      </c>
      <c r="BK378">
        <v>0</v>
      </c>
      <c r="BL378">
        <v>0</v>
      </c>
      <c r="BM378">
        <v>0</v>
      </c>
      <c r="BN378">
        <v>0</v>
      </c>
      <c r="BO378">
        <v>0</v>
      </c>
      <c r="BP378">
        <v>0</v>
      </c>
      <c r="BQ378">
        <v>0</v>
      </c>
      <c r="BR378">
        <v>0</v>
      </c>
      <c r="BS378">
        <v>0</v>
      </c>
      <c r="BT378">
        <v>0</v>
      </c>
      <c r="BU378">
        <v>0</v>
      </c>
      <c r="BV378">
        <v>0</v>
      </c>
      <c r="BW378">
        <v>0</v>
      </c>
      <c r="BX378">
        <v>0</v>
      </c>
      <c r="BY378">
        <v>0</v>
      </c>
      <c r="BZ378">
        <v>0</v>
      </c>
      <c r="CA378">
        <v>0</v>
      </c>
      <c r="CB378">
        <v>0</v>
      </c>
    </row>
    <row r="379" spans="1:80" x14ac:dyDescent="0.2">
      <c r="A379">
        <v>0</v>
      </c>
      <c r="B379">
        <v>0</v>
      </c>
      <c r="C379">
        <v>0</v>
      </c>
      <c r="D379">
        <v>0</v>
      </c>
      <c r="E379">
        <v>0</v>
      </c>
      <c r="F379">
        <v>0</v>
      </c>
      <c r="G379">
        <v>0</v>
      </c>
      <c r="H379">
        <v>0</v>
      </c>
      <c r="I379">
        <v>0</v>
      </c>
      <c r="J379">
        <v>0</v>
      </c>
      <c r="K379">
        <v>0</v>
      </c>
      <c r="L379">
        <v>0</v>
      </c>
      <c r="M379">
        <v>0</v>
      </c>
      <c r="N379">
        <v>0</v>
      </c>
      <c r="O379">
        <v>0</v>
      </c>
      <c r="P379">
        <v>0</v>
      </c>
      <c r="Q379">
        <v>0</v>
      </c>
      <c r="R379">
        <v>0</v>
      </c>
      <c r="S379">
        <v>0</v>
      </c>
      <c r="T379">
        <v>0</v>
      </c>
      <c r="U379">
        <v>0</v>
      </c>
      <c r="V379">
        <v>0</v>
      </c>
      <c r="W379">
        <v>0</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v>0</v>
      </c>
      <c r="AW379">
        <v>0</v>
      </c>
      <c r="AX379">
        <v>0</v>
      </c>
      <c r="AY379">
        <v>0</v>
      </c>
      <c r="AZ379">
        <v>0</v>
      </c>
      <c r="BA379">
        <v>0</v>
      </c>
      <c r="BB379">
        <v>0</v>
      </c>
      <c r="BC379">
        <v>0</v>
      </c>
      <c r="BD379">
        <v>0</v>
      </c>
      <c r="BE379">
        <v>0</v>
      </c>
      <c r="BF379">
        <v>0</v>
      </c>
      <c r="BG379">
        <v>0</v>
      </c>
      <c r="BH379">
        <v>0</v>
      </c>
      <c r="BI379">
        <v>0</v>
      </c>
      <c r="BJ379">
        <v>0</v>
      </c>
      <c r="BK379">
        <v>0</v>
      </c>
      <c r="BL379">
        <v>0</v>
      </c>
      <c r="BM379">
        <v>0</v>
      </c>
      <c r="BN379">
        <v>0</v>
      </c>
      <c r="BO379">
        <v>0</v>
      </c>
      <c r="BP379">
        <v>0</v>
      </c>
      <c r="BQ379">
        <v>0</v>
      </c>
      <c r="BR379">
        <v>0</v>
      </c>
      <c r="BS379">
        <v>0</v>
      </c>
      <c r="BT379">
        <v>0</v>
      </c>
      <c r="BU379">
        <v>0</v>
      </c>
      <c r="BV379">
        <v>0</v>
      </c>
      <c r="BW379">
        <v>0</v>
      </c>
      <c r="BX379">
        <v>0</v>
      </c>
      <c r="BY379">
        <v>0</v>
      </c>
      <c r="BZ379">
        <v>0</v>
      </c>
      <c r="CA379">
        <v>0</v>
      </c>
      <c r="CB379">
        <v>0</v>
      </c>
    </row>
    <row r="380" spans="1:80" x14ac:dyDescent="0.2">
      <c r="A380">
        <v>0</v>
      </c>
      <c r="B380">
        <v>0</v>
      </c>
      <c r="C380">
        <v>0</v>
      </c>
      <c r="D380">
        <v>0</v>
      </c>
      <c r="E380">
        <v>0</v>
      </c>
      <c r="F380">
        <v>0</v>
      </c>
      <c r="G380">
        <v>0</v>
      </c>
      <c r="H380">
        <v>0</v>
      </c>
      <c r="I380">
        <v>0</v>
      </c>
      <c r="J380">
        <v>0</v>
      </c>
      <c r="K380">
        <v>0</v>
      </c>
      <c r="L380">
        <v>0</v>
      </c>
      <c r="M380">
        <v>0</v>
      </c>
      <c r="N380">
        <v>0</v>
      </c>
      <c r="O380">
        <v>0</v>
      </c>
      <c r="P380">
        <v>0</v>
      </c>
      <c r="Q380">
        <v>0</v>
      </c>
      <c r="R380">
        <v>0</v>
      </c>
      <c r="S380">
        <v>0</v>
      </c>
      <c r="T380">
        <v>0</v>
      </c>
      <c r="U380">
        <v>0</v>
      </c>
      <c r="V380">
        <v>0</v>
      </c>
      <c r="W380">
        <v>0</v>
      </c>
      <c r="X380">
        <v>0</v>
      </c>
      <c r="Y380">
        <v>0</v>
      </c>
      <c r="Z380">
        <v>0</v>
      </c>
      <c r="AA380">
        <v>0</v>
      </c>
      <c r="AB380">
        <v>0</v>
      </c>
      <c r="AC380">
        <v>0</v>
      </c>
      <c r="AD380">
        <v>0</v>
      </c>
      <c r="AE380">
        <v>0</v>
      </c>
      <c r="AF380">
        <v>0</v>
      </c>
      <c r="AG380">
        <v>0</v>
      </c>
      <c r="AH380">
        <v>0</v>
      </c>
      <c r="AI380">
        <v>0</v>
      </c>
      <c r="AJ380">
        <v>0</v>
      </c>
      <c r="AK380">
        <v>0</v>
      </c>
      <c r="AL380">
        <v>0</v>
      </c>
      <c r="AM380">
        <v>0</v>
      </c>
      <c r="AN380">
        <v>0</v>
      </c>
      <c r="AO380">
        <v>0</v>
      </c>
      <c r="AP380">
        <v>0</v>
      </c>
      <c r="AQ380">
        <v>0</v>
      </c>
      <c r="AR380">
        <v>0</v>
      </c>
      <c r="AS380">
        <v>0</v>
      </c>
      <c r="AT380">
        <v>0</v>
      </c>
      <c r="AU380">
        <v>0</v>
      </c>
      <c r="AV380">
        <v>0</v>
      </c>
      <c r="AW380">
        <v>0</v>
      </c>
      <c r="AX380">
        <v>0</v>
      </c>
      <c r="AY380">
        <v>0</v>
      </c>
      <c r="AZ380">
        <v>0</v>
      </c>
      <c r="BA380">
        <v>0</v>
      </c>
      <c r="BB380">
        <v>0</v>
      </c>
      <c r="BC380">
        <v>0</v>
      </c>
      <c r="BD380">
        <v>0</v>
      </c>
      <c r="BE380">
        <v>0</v>
      </c>
      <c r="BF380">
        <v>0</v>
      </c>
      <c r="BG380">
        <v>0</v>
      </c>
      <c r="BH380">
        <v>0</v>
      </c>
      <c r="BI380">
        <v>0</v>
      </c>
      <c r="BJ380">
        <v>0</v>
      </c>
      <c r="BK380">
        <v>0</v>
      </c>
      <c r="BL380">
        <v>0</v>
      </c>
      <c r="BM380">
        <v>0</v>
      </c>
      <c r="BN380">
        <v>0</v>
      </c>
      <c r="BO380">
        <v>0</v>
      </c>
      <c r="BP380">
        <v>0</v>
      </c>
      <c r="BQ380">
        <v>0</v>
      </c>
      <c r="BR380">
        <v>0</v>
      </c>
      <c r="BS380">
        <v>0</v>
      </c>
      <c r="BT380">
        <v>0</v>
      </c>
      <c r="BU380">
        <v>0</v>
      </c>
      <c r="BV380">
        <v>0</v>
      </c>
      <c r="BW380">
        <v>0</v>
      </c>
      <c r="BX380">
        <v>0</v>
      </c>
      <c r="BY380">
        <v>0</v>
      </c>
      <c r="BZ380">
        <v>0</v>
      </c>
      <c r="CA380">
        <v>0</v>
      </c>
      <c r="CB380">
        <v>0</v>
      </c>
    </row>
    <row r="381" spans="1:80" x14ac:dyDescent="0.2">
      <c r="A381">
        <v>0</v>
      </c>
      <c r="B381">
        <v>0</v>
      </c>
      <c r="C381">
        <v>0</v>
      </c>
      <c r="D381">
        <v>0</v>
      </c>
      <c r="E381">
        <v>0</v>
      </c>
      <c r="F381">
        <v>0</v>
      </c>
      <c r="G381">
        <v>0</v>
      </c>
      <c r="H381">
        <v>0</v>
      </c>
      <c r="I381">
        <v>0</v>
      </c>
      <c r="J381">
        <v>0</v>
      </c>
      <c r="K381">
        <v>0</v>
      </c>
      <c r="L381">
        <v>0</v>
      </c>
      <c r="M381">
        <v>0</v>
      </c>
      <c r="N381">
        <v>0</v>
      </c>
      <c r="O381">
        <v>0</v>
      </c>
      <c r="P381">
        <v>0</v>
      </c>
      <c r="Q381">
        <v>0</v>
      </c>
      <c r="R381">
        <v>0</v>
      </c>
      <c r="S381">
        <v>0</v>
      </c>
      <c r="T381">
        <v>0</v>
      </c>
      <c r="U381">
        <v>0</v>
      </c>
      <c r="V381">
        <v>0</v>
      </c>
      <c r="W381">
        <v>0</v>
      </c>
      <c r="X381">
        <v>0</v>
      </c>
      <c r="Y381">
        <v>0</v>
      </c>
      <c r="Z381">
        <v>0</v>
      </c>
      <c r="AA381">
        <v>0</v>
      </c>
      <c r="AB381">
        <v>0</v>
      </c>
      <c r="AC381">
        <v>0</v>
      </c>
      <c r="AD381">
        <v>0</v>
      </c>
      <c r="AE381">
        <v>0</v>
      </c>
      <c r="AF381">
        <v>0</v>
      </c>
      <c r="AG381">
        <v>0</v>
      </c>
      <c r="AH381">
        <v>0</v>
      </c>
      <c r="AI381">
        <v>0</v>
      </c>
      <c r="AJ381">
        <v>0</v>
      </c>
      <c r="AK381">
        <v>0</v>
      </c>
      <c r="AL381">
        <v>0</v>
      </c>
      <c r="AM381">
        <v>0</v>
      </c>
      <c r="AN381">
        <v>0</v>
      </c>
      <c r="AO381">
        <v>0</v>
      </c>
      <c r="AP381">
        <v>0</v>
      </c>
      <c r="AQ381">
        <v>0</v>
      </c>
      <c r="AR381">
        <v>0</v>
      </c>
      <c r="AS381">
        <v>0</v>
      </c>
      <c r="AT381">
        <v>0</v>
      </c>
      <c r="AU381">
        <v>0</v>
      </c>
      <c r="AV381">
        <v>0</v>
      </c>
      <c r="AW381">
        <v>0</v>
      </c>
      <c r="AX381">
        <v>0</v>
      </c>
      <c r="AY381">
        <v>0</v>
      </c>
      <c r="AZ381">
        <v>0</v>
      </c>
      <c r="BA381">
        <v>0</v>
      </c>
      <c r="BB381">
        <v>0</v>
      </c>
      <c r="BC381">
        <v>0</v>
      </c>
      <c r="BD381">
        <v>0</v>
      </c>
      <c r="BE381">
        <v>0</v>
      </c>
      <c r="BF381">
        <v>0</v>
      </c>
      <c r="BG381">
        <v>0</v>
      </c>
      <c r="BH381">
        <v>0</v>
      </c>
      <c r="BI381">
        <v>0</v>
      </c>
      <c r="BJ381">
        <v>0</v>
      </c>
      <c r="BK381">
        <v>0</v>
      </c>
      <c r="BL381">
        <v>0</v>
      </c>
      <c r="BM381">
        <v>0</v>
      </c>
      <c r="BN381">
        <v>0</v>
      </c>
      <c r="BO381">
        <v>0</v>
      </c>
      <c r="BP381">
        <v>0</v>
      </c>
      <c r="BQ381">
        <v>0</v>
      </c>
      <c r="BR381">
        <v>0</v>
      </c>
      <c r="BS381">
        <v>0</v>
      </c>
      <c r="BT381">
        <v>0</v>
      </c>
      <c r="BU381">
        <v>0</v>
      </c>
      <c r="BV381">
        <v>0</v>
      </c>
      <c r="BW381">
        <v>0</v>
      </c>
      <c r="BX381">
        <v>0</v>
      </c>
      <c r="BY381">
        <v>0</v>
      </c>
      <c r="BZ381">
        <v>0</v>
      </c>
      <c r="CA381">
        <v>0</v>
      </c>
      <c r="CB381">
        <v>0</v>
      </c>
    </row>
    <row r="382" spans="1:80" x14ac:dyDescent="0.2">
      <c r="A382">
        <v>0</v>
      </c>
      <c r="B382">
        <v>0</v>
      </c>
      <c r="C382">
        <v>0</v>
      </c>
      <c r="D382">
        <v>0</v>
      </c>
      <c r="E382">
        <v>0</v>
      </c>
      <c r="F382">
        <v>0</v>
      </c>
      <c r="G382">
        <v>0</v>
      </c>
      <c r="H382">
        <v>0</v>
      </c>
      <c r="I382">
        <v>0</v>
      </c>
      <c r="J382">
        <v>0</v>
      </c>
      <c r="K382">
        <v>0</v>
      </c>
      <c r="L382">
        <v>0</v>
      </c>
      <c r="M382">
        <v>0</v>
      </c>
      <c r="N382">
        <v>0</v>
      </c>
      <c r="O382">
        <v>0</v>
      </c>
      <c r="P382">
        <v>0</v>
      </c>
      <c r="Q382">
        <v>0</v>
      </c>
      <c r="R382">
        <v>0</v>
      </c>
      <c r="S382">
        <v>0</v>
      </c>
      <c r="T382">
        <v>0</v>
      </c>
      <c r="U382">
        <v>0</v>
      </c>
      <c r="V382">
        <v>0</v>
      </c>
      <c r="W382">
        <v>0</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v>0</v>
      </c>
      <c r="AW382">
        <v>0</v>
      </c>
      <c r="AX382">
        <v>0</v>
      </c>
      <c r="AY382">
        <v>0</v>
      </c>
      <c r="AZ382">
        <v>0</v>
      </c>
      <c r="BA382">
        <v>0</v>
      </c>
      <c r="BB382">
        <v>0</v>
      </c>
      <c r="BC382">
        <v>0</v>
      </c>
      <c r="BD382">
        <v>0</v>
      </c>
      <c r="BE382">
        <v>0</v>
      </c>
      <c r="BF382">
        <v>0</v>
      </c>
      <c r="BG382">
        <v>0</v>
      </c>
      <c r="BH382">
        <v>0</v>
      </c>
      <c r="BI382">
        <v>0</v>
      </c>
      <c r="BJ382">
        <v>0</v>
      </c>
      <c r="BK382">
        <v>0</v>
      </c>
      <c r="BL382">
        <v>0</v>
      </c>
      <c r="BM382">
        <v>0</v>
      </c>
      <c r="BN382">
        <v>0</v>
      </c>
      <c r="BO382">
        <v>0</v>
      </c>
      <c r="BP382">
        <v>0</v>
      </c>
      <c r="BQ382">
        <v>0</v>
      </c>
      <c r="BR382">
        <v>0</v>
      </c>
      <c r="BS382">
        <v>0</v>
      </c>
      <c r="BT382">
        <v>0</v>
      </c>
      <c r="BU382">
        <v>0</v>
      </c>
      <c r="BV382">
        <v>0</v>
      </c>
      <c r="BW382">
        <v>0</v>
      </c>
      <c r="BX382">
        <v>0</v>
      </c>
      <c r="BY382">
        <v>0</v>
      </c>
      <c r="BZ382">
        <v>0</v>
      </c>
      <c r="CA382">
        <v>0</v>
      </c>
      <c r="CB382">
        <v>0</v>
      </c>
    </row>
    <row r="383" spans="1:80" x14ac:dyDescent="0.2">
      <c r="A383">
        <v>0</v>
      </c>
      <c r="B383">
        <v>0</v>
      </c>
      <c r="C383">
        <v>0</v>
      </c>
      <c r="D383">
        <v>0</v>
      </c>
      <c r="E383">
        <v>0</v>
      </c>
      <c r="F383">
        <v>0</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0</v>
      </c>
      <c r="BN383">
        <v>0</v>
      </c>
      <c r="BO383">
        <v>0</v>
      </c>
      <c r="BP383">
        <v>0</v>
      </c>
      <c r="BQ383">
        <v>0</v>
      </c>
      <c r="BR383">
        <v>0</v>
      </c>
      <c r="BS383">
        <v>0</v>
      </c>
      <c r="BT383">
        <v>0</v>
      </c>
      <c r="BU383">
        <v>0</v>
      </c>
      <c r="BV383">
        <v>0</v>
      </c>
      <c r="BW383">
        <v>0</v>
      </c>
      <c r="BX383">
        <v>0</v>
      </c>
      <c r="BY383">
        <v>0</v>
      </c>
      <c r="BZ383">
        <v>0</v>
      </c>
      <c r="CA383">
        <v>0</v>
      </c>
      <c r="CB383">
        <v>0</v>
      </c>
    </row>
    <row r="384" spans="1:80" x14ac:dyDescent="0.2">
      <c r="A384">
        <v>0</v>
      </c>
      <c r="B384">
        <v>0</v>
      </c>
      <c r="C384">
        <v>0</v>
      </c>
      <c r="D384">
        <v>0</v>
      </c>
      <c r="E384">
        <v>0</v>
      </c>
      <c r="F384">
        <v>0</v>
      </c>
      <c r="G384">
        <v>0</v>
      </c>
      <c r="H384">
        <v>0</v>
      </c>
      <c r="I384">
        <v>0</v>
      </c>
      <c r="J384">
        <v>0</v>
      </c>
      <c r="K384">
        <v>0</v>
      </c>
      <c r="L384">
        <v>0</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0</v>
      </c>
      <c r="AT384">
        <v>0</v>
      </c>
      <c r="AU384">
        <v>0</v>
      </c>
      <c r="AV384">
        <v>0</v>
      </c>
      <c r="AW384">
        <v>0</v>
      </c>
      <c r="AX384">
        <v>0</v>
      </c>
      <c r="AY384">
        <v>0</v>
      </c>
      <c r="AZ384">
        <v>0</v>
      </c>
      <c r="BA384">
        <v>0</v>
      </c>
      <c r="BB384">
        <v>0</v>
      </c>
      <c r="BC384">
        <v>0</v>
      </c>
      <c r="BD384">
        <v>0</v>
      </c>
      <c r="BE384">
        <v>0</v>
      </c>
      <c r="BF384">
        <v>0</v>
      </c>
      <c r="BG384">
        <v>0</v>
      </c>
      <c r="BH384">
        <v>0</v>
      </c>
      <c r="BI384">
        <v>0</v>
      </c>
      <c r="BJ384">
        <v>0</v>
      </c>
      <c r="BK384">
        <v>0</v>
      </c>
      <c r="BL384">
        <v>0</v>
      </c>
      <c r="BM384">
        <v>0</v>
      </c>
      <c r="BN384">
        <v>0</v>
      </c>
      <c r="BO384">
        <v>0</v>
      </c>
      <c r="BP384">
        <v>0</v>
      </c>
      <c r="BQ384">
        <v>0</v>
      </c>
      <c r="BR384">
        <v>0</v>
      </c>
      <c r="BS384">
        <v>0</v>
      </c>
      <c r="BT384">
        <v>0</v>
      </c>
      <c r="BU384">
        <v>0</v>
      </c>
      <c r="BV384">
        <v>0</v>
      </c>
      <c r="BW384">
        <v>0</v>
      </c>
      <c r="BX384">
        <v>0</v>
      </c>
      <c r="BY384">
        <v>0</v>
      </c>
      <c r="BZ384">
        <v>0</v>
      </c>
      <c r="CA384">
        <v>0</v>
      </c>
      <c r="CB384">
        <v>0</v>
      </c>
    </row>
    <row r="385" spans="1:80" x14ac:dyDescent="0.2">
      <c r="A385">
        <v>0</v>
      </c>
      <c r="B385">
        <v>0</v>
      </c>
      <c r="C385">
        <v>0</v>
      </c>
      <c r="D385">
        <v>0</v>
      </c>
      <c r="E385">
        <v>0</v>
      </c>
      <c r="F385">
        <v>0</v>
      </c>
      <c r="G385">
        <v>0</v>
      </c>
      <c r="H385">
        <v>0</v>
      </c>
      <c r="I385">
        <v>0</v>
      </c>
      <c r="J385">
        <v>0</v>
      </c>
      <c r="K385">
        <v>0</v>
      </c>
      <c r="L385">
        <v>0</v>
      </c>
      <c r="M385">
        <v>0</v>
      </c>
      <c r="N385">
        <v>0</v>
      </c>
      <c r="O385">
        <v>0</v>
      </c>
      <c r="P385">
        <v>0</v>
      </c>
      <c r="Q385">
        <v>0</v>
      </c>
      <c r="R385">
        <v>0</v>
      </c>
      <c r="S385">
        <v>0</v>
      </c>
      <c r="T385">
        <v>0</v>
      </c>
      <c r="U385">
        <v>0</v>
      </c>
      <c r="V385">
        <v>0</v>
      </c>
      <c r="W385">
        <v>0</v>
      </c>
      <c r="X385">
        <v>0</v>
      </c>
      <c r="Y385">
        <v>0</v>
      </c>
      <c r="Z385">
        <v>0</v>
      </c>
      <c r="AA385">
        <v>0</v>
      </c>
      <c r="AB385">
        <v>0</v>
      </c>
      <c r="AC385">
        <v>0</v>
      </c>
      <c r="AD385">
        <v>0</v>
      </c>
      <c r="AE385">
        <v>0</v>
      </c>
      <c r="AF385">
        <v>0</v>
      </c>
      <c r="AG385">
        <v>0</v>
      </c>
      <c r="AH385">
        <v>0</v>
      </c>
      <c r="AI385">
        <v>0</v>
      </c>
      <c r="AJ385">
        <v>0</v>
      </c>
      <c r="AK385">
        <v>0</v>
      </c>
      <c r="AL385">
        <v>0</v>
      </c>
      <c r="AM385">
        <v>0</v>
      </c>
      <c r="AN385">
        <v>0</v>
      </c>
      <c r="AO385">
        <v>0</v>
      </c>
      <c r="AP385">
        <v>0</v>
      </c>
      <c r="AQ385">
        <v>0</v>
      </c>
      <c r="AR385">
        <v>0</v>
      </c>
      <c r="AS385">
        <v>0</v>
      </c>
      <c r="AT385">
        <v>0</v>
      </c>
      <c r="AU385">
        <v>0</v>
      </c>
      <c r="AV385">
        <v>0</v>
      </c>
      <c r="AW385">
        <v>0</v>
      </c>
      <c r="AX385">
        <v>0</v>
      </c>
      <c r="AY385">
        <v>0</v>
      </c>
      <c r="AZ385">
        <v>0</v>
      </c>
      <c r="BA385">
        <v>0</v>
      </c>
      <c r="BB385">
        <v>0</v>
      </c>
      <c r="BC385">
        <v>0</v>
      </c>
      <c r="BD385">
        <v>0</v>
      </c>
      <c r="BE385">
        <v>0</v>
      </c>
      <c r="BF385">
        <v>0</v>
      </c>
      <c r="BG385">
        <v>0</v>
      </c>
      <c r="BH385">
        <v>0</v>
      </c>
      <c r="BI385">
        <v>0</v>
      </c>
      <c r="BJ385">
        <v>0</v>
      </c>
      <c r="BK385">
        <v>0</v>
      </c>
      <c r="BL385">
        <v>0</v>
      </c>
      <c r="BM385">
        <v>0</v>
      </c>
      <c r="BN385">
        <v>0</v>
      </c>
      <c r="BO385">
        <v>0</v>
      </c>
      <c r="BP385">
        <v>0</v>
      </c>
      <c r="BQ385">
        <v>0</v>
      </c>
      <c r="BR385">
        <v>0</v>
      </c>
      <c r="BS385">
        <v>0</v>
      </c>
      <c r="BT385">
        <v>0</v>
      </c>
      <c r="BU385">
        <v>0</v>
      </c>
      <c r="BV385">
        <v>0</v>
      </c>
      <c r="BW385">
        <v>0</v>
      </c>
      <c r="BX385">
        <v>0</v>
      </c>
      <c r="BY385">
        <v>0</v>
      </c>
      <c r="BZ385">
        <v>0</v>
      </c>
      <c r="CA385">
        <v>0</v>
      </c>
      <c r="CB385">
        <v>0</v>
      </c>
    </row>
    <row r="386" spans="1:80" x14ac:dyDescent="0.2">
      <c r="A386">
        <v>0</v>
      </c>
      <c r="B386">
        <v>0</v>
      </c>
      <c r="C386">
        <v>0</v>
      </c>
      <c r="D386">
        <v>0</v>
      </c>
      <c r="E386">
        <v>0</v>
      </c>
      <c r="F386">
        <v>0</v>
      </c>
      <c r="G386">
        <v>0</v>
      </c>
      <c r="H386">
        <v>0</v>
      </c>
      <c r="I386">
        <v>0</v>
      </c>
      <c r="J386">
        <v>0</v>
      </c>
      <c r="K386">
        <v>0</v>
      </c>
      <c r="L386">
        <v>0</v>
      </c>
      <c r="M386">
        <v>0</v>
      </c>
      <c r="N386">
        <v>0</v>
      </c>
      <c r="O386">
        <v>0</v>
      </c>
      <c r="P386">
        <v>0</v>
      </c>
      <c r="Q386">
        <v>0</v>
      </c>
      <c r="R386">
        <v>0</v>
      </c>
      <c r="S386">
        <v>0</v>
      </c>
      <c r="T386">
        <v>0</v>
      </c>
      <c r="U386">
        <v>0</v>
      </c>
      <c r="V386">
        <v>0</v>
      </c>
      <c r="W386">
        <v>0</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v>0</v>
      </c>
      <c r="BI386">
        <v>0</v>
      </c>
      <c r="BJ386">
        <v>0</v>
      </c>
      <c r="BK386">
        <v>0</v>
      </c>
      <c r="BL386">
        <v>0</v>
      </c>
      <c r="BM386">
        <v>0</v>
      </c>
      <c r="BN386">
        <v>0</v>
      </c>
      <c r="BO386">
        <v>0</v>
      </c>
      <c r="BP386">
        <v>0</v>
      </c>
      <c r="BQ386">
        <v>0</v>
      </c>
      <c r="BR386">
        <v>0</v>
      </c>
      <c r="BS386">
        <v>0</v>
      </c>
      <c r="BT386">
        <v>0</v>
      </c>
      <c r="BU386">
        <v>0</v>
      </c>
      <c r="BV386">
        <v>0</v>
      </c>
      <c r="BW386">
        <v>0</v>
      </c>
      <c r="BX386">
        <v>0</v>
      </c>
      <c r="BY386">
        <v>0</v>
      </c>
      <c r="BZ386">
        <v>0</v>
      </c>
      <c r="CA386">
        <v>0</v>
      </c>
      <c r="CB386">
        <v>0</v>
      </c>
    </row>
    <row r="387" spans="1:80" x14ac:dyDescent="0.2">
      <c r="A387">
        <v>0</v>
      </c>
      <c r="B387">
        <v>0</v>
      </c>
      <c r="C387">
        <v>0</v>
      </c>
      <c r="D387">
        <v>0</v>
      </c>
      <c r="E387">
        <v>0</v>
      </c>
      <c r="F387">
        <v>0</v>
      </c>
      <c r="G387">
        <v>0</v>
      </c>
      <c r="H387">
        <v>0</v>
      </c>
      <c r="I387">
        <v>0</v>
      </c>
      <c r="J387">
        <v>0</v>
      </c>
      <c r="K387">
        <v>0</v>
      </c>
      <c r="L387">
        <v>0</v>
      </c>
      <c r="M387">
        <v>0</v>
      </c>
      <c r="N387">
        <v>0</v>
      </c>
      <c r="O387">
        <v>0</v>
      </c>
      <c r="P387">
        <v>0</v>
      </c>
      <c r="Q387">
        <v>0</v>
      </c>
      <c r="R387">
        <v>0</v>
      </c>
      <c r="S387">
        <v>0</v>
      </c>
      <c r="T387">
        <v>0</v>
      </c>
      <c r="U387">
        <v>0</v>
      </c>
      <c r="V387">
        <v>0</v>
      </c>
      <c r="W387">
        <v>0</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0</v>
      </c>
      <c r="BJ387">
        <v>0</v>
      </c>
      <c r="BK387">
        <v>0</v>
      </c>
      <c r="BL387">
        <v>0</v>
      </c>
      <c r="BM387">
        <v>0</v>
      </c>
      <c r="BN387">
        <v>0</v>
      </c>
      <c r="BO387">
        <v>0</v>
      </c>
      <c r="BP387">
        <v>0</v>
      </c>
      <c r="BQ387">
        <v>0</v>
      </c>
      <c r="BR387">
        <v>0</v>
      </c>
      <c r="BS387">
        <v>0</v>
      </c>
      <c r="BT387">
        <v>0</v>
      </c>
      <c r="BU387">
        <v>0</v>
      </c>
      <c r="BV387">
        <v>0</v>
      </c>
      <c r="BW387">
        <v>0</v>
      </c>
      <c r="BX387">
        <v>0</v>
      </c>
      <c r="BY387">
        <v>0</v>
      </c>
      <c r="BZ387">
        <v>0</v>
      </c>
      <c r="CA387">
        <v>0</v>
      </c>
      <c r="CB387">
        <v>0</v>
      </c>
    </row>
    <row r="388" spans="1:80" x14ac:dyDescent="0.2">
      <c r="A388">
        <v>0</v>
      </c>
      <c r="B388">
        <v>0</v>
      </c>
      <c r="C388">
        <v>0</v>
      </c>
      <c r="D388">
        <v>0</v>
      </c>
      <c r="E388">
        <v>0</v>
      </c>
      <c r="F388">
        <v>0</v>
      </c>
      <c r="G388">
        <v>0</v>
      </c>
      <c r="H388">
        <v>0</v>
      </c>
      <c r="I388">
        <v>0</v>
      </c>
      <c r="J388">
        <v>0</v>
      </c>
      <c r="K388">
        <v>0</v>
      </c>
      <c r="L388">
        <v>0</v>
      </c>
      <c r="M388">
        <v>0</v>
      </c>
      <c r="N388">
        <v>0</v>
      </c>
      <c r="O388">
        <v>0</v>
      </c>
      <c r="P388">
        <v>0</v>
      </c>
      <c r="Q388">
        <v>0</v>
      </c>
      <c r="R388">
        <v>0</v>
      </c>
      <c r="S388">
        <v>0</v>
      </c>
      <c r="T388">
        <v>0</v>
      </c>
      <c r="U388">
        <v>0</v>
      </c>
      <c r="V388">
        <v>0</v>
      </c>
      <c r="W388">
        <v>0</v>
      </c>
      <c r="X388">
        <v>0</v>
      </c>
      <c r="Y388">
        <v>0</v>
      </c>
      <c r="Z388">
        <v>0</v>
      </c>
      <c r="AA388">
        <v>0</v>
      </c>
      <c r="AB388">
        <v>0</v>
      </c>
      <c r="AC388">
        <v>0</v>
      </c>
      <c r="AD388">
        <v>0</v>
      </c>
      <c r="AE388">
        <v>0</v>
      </c>
      <c r="AF388">
        <v>0</v>
      </c>
      <c r="AG388">
        <v>0</v>
      </c>
      <c r="AH388">
        <v>0</v>
      </c>
      <c r="AI388">
        <v>0</v>
      </c>
      <c r="AJ388">
        <v>0</v>
      </c>
      <c r="AK388">
        <v>0</v>
      </c>
      <c r="AL388">
        <v>0</v>
      </c>
      <c r="AM388">
        <v>0</v>
      </c>
      <c r="AN388">
        <v>0</v>
      </c>
      <c r="AO388">
        <v>0</v>
      </c>
      <c r="AP388">
        <v>0</v>
      </c>
      <c r="AQ388">
        <v>0</v>
      </c>
      <c r="AR388">
        <v>0</v>
      </c>
      <c r="AS388">
        <v>0</v>
      </c>
      <c r="AT388">
        <v>0</v>
      </c>
      <c r="AU388">
        <v>0</v>
      </c>
      <c r="AV388">
        <v>0</v>
      </c>
      <c r="AW388">
        <v>0</v>
      </c>
      <c r="AX388">
        <v>0</v>
      </c>
      <c r="AY388">
        <v>0</v>
      </c>
      <c r="AZ388">
        <v>0</v>
      </c>
      <c r="BA388">
        <v>0</v>
      </c>
      <c r="BB388">
        <v>0</v>
      </c>
      <c r="BC388">
        <v>0</v>
      </c>
      <c r="BD388">
        <v>0</v>
      </c>
      <c r="BE388">
        <v>0</v>
      </c>
      <c r="BF388">
        <v>0</v>
      </c>
      <c r="BG388">
        <v>0</v>
      </c>
      <c r="BH388">
        <v>0</v>
      </c>
      <c r="BI388">
        <v>0</v>
      </c>
      <c r="BJ388">
        <v>0</v>
      </c>
      <c r="BK388">
        <v>0</v>
      </c>
      <c r="BL388">
        <v>0</v>
      </c>
      <c r="BM388">
        <v>0</v>
      </c>
      <c r="BN388">
        <v>0</v>
      </c>
      <c r="BO388">
        <v>0</v>
      </c>
      <c r="BP388">
        <v>0</v>
      </c>
      <c r="BQ388">
        <v>0</v>
      </c>
      <c r="BR388">
        <v>0</v>
      </c>
      <c r="BS388">
        <v>0</v>
      </c>
      <c r="BT388">
        <v>0</v>
      </c>
      <c r="BU388">
        <v>0</v>
      </c>
      <c r="BV388">
        <v>0</v>
      </c>
      <c r="BW388">
        <v>0</v>
      </c>
      <c r="BX388">
        <v>0</v>
      </c>
      <c r="BY388">
        <v>0</v>
      </c>
      <c r="BZ388">
        <v>0</v>
      </c>
      <c r="CA388">
        <v>0</v>
      </c>
      <c r="CB388">
        <v>0</v>
      </c>
    </row>
    <row r="389" spans="1:80" x14ac:dyDescent="0.2">
      <c r="A389">
        <v>0</v>
      </c>
      <c r="B389">
        <v>0</v>
      </c>
      <c r="C389">
        <v>0</v>
      </c>
      <c r="D389">
        <v>0</v>
      </c>
      <c r="E389">
        <v>0</v>
      </c>
      <c r="F389">
        <v>0</v>
      </c>
      <c r="G389">
        <v>0</v>
      </c>
      <c r="H389">
        <v>0</v>
      </c>
      <c r="I389">
        <v>0</v>
      </c>
      <c r="J389">
        <v>0</v>
      </c>
      <c r="K389">
        <v>0</v>
      </c>
      <c r="L389">
        <v>0</v>
      </c>
      <c r="M389">
        <v>0</v>
      </c>
      <c r="N389">
        <v>0</v>
      </c>
      <c r="O389">
        <v>0</v>
      </c>
      <c r="P389">
        <v>0</v>
      </c>
      <c r="Q389">
        <v>0</v>
      </c>
      <c r="R389">
        <v>0</v>
      </c>
      <c r="S389">
        <v>0</v>
      </c>
      <c r="T389">
        <v>0</v>
      </c>
      <c r="U389">
        <v>0</v>
      </c>
      <c r="V389">
        <v>0</v>
      </c>
      <c r="W389">
        <v>0</v>
      </c>
      <c r="X389">
        <v>0</v>
      </c>
      <c r="Y389">
        <v>0</v>
      </c>
      <c r="Z389">
        <v>0</v>
      </c>
      <c r="AA389">
        <v>0</v>
      </c>
      <c r="AB389">
        <v>0</v>
      </c>
      <c r="AC389">
        <v>0</v>
      </c>
      <c r="AD389">
        <v>0</v>
      </c>
      <c r="AE389">
        <v>0</v>
      </c>
      <c r="AF389">
        <v>0</v>
      </c>
      <c r="AG389">
        <v>0</v>
      </c>
      <c r="AH389">
        <v>0</v>
      </c>
      <c r="AI389">
        <v>0</v>
      </c>
      <c r="AJ389">
        <v>0</v>
      </c>
      <c r="AK389">
        <v>0</v>
      </c>
      <c r="AL389">
        <v>0</v>
      </c>
      <c r="AM389">
        <v>0</v>
      </c>
      <c r="AN389">
        <v>0</v>
      </c>
      <c r="AO389">
        <v>0</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J389">
        <v>0</v>
      </c>
      <c r="BK389">
        <v>0</v>
      </c>
      <c r="BL389">
        <v>0</v>
      </c>
      <c r="BM389">
        <v>0</v>
      </c>
      <c r="BN389">
        <v>0</v>
      </c>
      <c r="BO389">
        <v>0</v>
      </c>
      <c r="BP389">
        <v>0</v>
      </c>
      <c r="BQ389">
        <v>0</v>
      </c>
      <c r="BR389">
        <v>0</v>
      </c>
      <c r="BS389">
        <v>0</v>
      </c>
      <c r="BT389">
        <v>0</v>
      </c>
      <c r="BU389">
        <v>0</v>
      </c>
      <c r="BV389">
        <v>0</v>
      </c>
      <c r="BW389">
        <v>0</v>
      </c>
      <c r="BX389">
        <v>0</v>
      </c>
      <c r="BY389">
        <v>0</v>
      </c>
      <c r="BZ389">
        <v>0</v>
      </c>
      <c r="CA389">
        <v>0</v>
      </c>
      <c r="CB389">
        <v>0</v>
      </c>
    </row>
    <row r="390" spans="1:80" x14ac:dyDescent="0.2">
      <c r="A390">
        <v>0</v>
      </c>
      <c r="B390">
        <v>0</v>
      </c>
      <c r="C390">
        <v>0</v>
      </c>
      <c r="D390">
        <v>0</v>
      </c>
      <c r="E390">
        <v>0</v>
      </c>
      <c r="F390">
        <v>0</v>
      </c>
      <c r="G390">
        <v>0</v>
      </c>
      <c r="H390">
        <v>0</v>
      </c>
      <c r="I390">
        <v>0</v>
      </c>
      <c r="J390">
        <v>0</v>
      </c>
      <c r="K390">
        <v>0</v>
      </c>
      <c r="L390">
        <v>0</v>
      </c>
      <c r="M390">
        <v>0</v>
      </c>
      <c r="N390">
        <v>0</v>
      </c>
      <c r="O390">
        <v>0</v>
      </c>
      <c r="P390">
        <v>0</v>
      </c>
      <c r="Q390">
        <v>0</v>
      </c>
      <c r="R390">
        <v>0</v>
      </c>
      <c r="S390">
        <v>0</v>
      </c>
      <c r="T390">
        <v>0</v>
      </c>
      <c r="U390">
        <v>0</v>
      </c>
      <c r="V390">
        <v>0</v>
      </c>
      <c r="W390">
        <v>0</v>
      </c>
      <c r="X390">
        <v>0</v>
      </c>
      <c r="Y390">
        <v>0</v>
      </c>
      <c r="Z390">
        <v>0</v>
      </c>
      <c r="AA390">
        <v>0</v>
      </c>
      <c r="AB390">
        <v>0</v>
      </c>
      <c r="AC390">
        <v>0</v>
      </c>
      <c r="AD390">
        <v>0</v>
      </c>
      <c r="AE390">
        <v>0</v>
      </c>
      <c r="AF390">
        <v>0</v>
      </c>
      <c r="AG390">
        <v>0</v>
      </c>
      <c r="AH390">
        <v>0</v>
      </c>
      <c r="AI390">
        <v>0</v>
      </c>
      <c r="AJ390">
        <v>0</v>
      </c>
      <c r="AK390">
        <v>0</v>
      </c>
      <c r="AL390">
        <v>0</v>
      </c>
      <c r="AM390">
        <v>0</v>
      </c>
      <c r="AN390">
        <v>0</v>
      </c>
      <c r="AO390">
        <v>0</v>
      </c>
      <c r="AP390">
        <v>0</v>
      </c>
      <c r="AQ390">
        <v>0</v>
      </c>
      <c r="AR390">
        <v>0</v>
      </c>
      <c r="AS390">
        <v>0</v>
      </c>
      <c r="AT390">
        <v>0</v>
      </c>
      <c r="AU390">
        <v>0</v>
      </c>
      <c r="AV390">
        <v>0</v>
      </c>
      <c r="AW390">
        <v>0</v>
      </c>
      <c r="AX390">
        <v>0</v>
      </c>
      <c r="AY390">
        <v>0</v>
      </c>
      <c r="AZ390">
        <v>0</v>
      </c>
      <c r="BA390">
        <v>0</v>
      </c>
      <c r="BB390">
        <v>0</v>
      </c>
      <c r="BC390">
        <v>0</v>
      </c>
      <c r="BD390">
        <v>0</v>
      </c>
      <c r="BE390">
        <v>0</v>
      </c>
      <c r="BF390">
        <v>0</v>
      </c>
      <c r="BG390">
        <v>0</v>
      </c>
      <c r="BH390">
        <v>0</v>
      </c>
      <c r="BI390">
        <v>0</v>
      </c>
      <c r="BJ390">
        <v>0</v>
      </c>
      <c r="BK390">
        <v>0</v>
      </c>
      <c r="BL390">
        <v>0</v>
      </c>
      <c r="BM390">
        <v>0</v>
      </c>
      <c r="BN390">
        <v>0</v>
      </c>
      <c r="BO390">
        <v>0</v>
      </c>
      <c r="BP390">
        <v>0</v>
      </c>
      <c r="BQ390">
        <v>0</v>
      </c>
      <c r="BR390">
        <v>0</v>
      </c>
      <c r="BS390">
        <v>0</v>
      </c>
      <c r="BT390">
        <v>0</v>
      </c>
      <c r="BU390">
        <v>0</v>
      </c>
      <c r="BV390">
        <v>0</v>
      </c>
      <c r="BW390">
        <v>0</v>
      </c>
      <c r="BX390">
        <v>0</v>
      </c>
      <c r="BY390">
        <v>0</v>
      </c>
      <c r="BZ390">
        <v>0</v>
      </c>
      <c r="CA390">
        <v>0</v>
      </c>
      <c r="CB390">
        <v>0</v>
      </c>
    </row>
    <row r="391" spans="1:80" x14ac:dyDescent="0.2">
      <c r="A391">
        <v>0</v>
      </c>
      <c r="B391">
        <v>0</v>
      </c>
      <c r="C391">
        <v>0</v>
      </c>
      <c r="D391">
        <v>0</v>
      </c>
      <c r="E391">
        <v>0</v>
      </c>
      <c r="F391">
        <v>0</v>
      </c>
      <c r="G391">
        <v>0</v>
      </c>
      <c r="H391">
        <v>0</v>
      </c>
      <c r="I391">
        <v>0</v>
      </c>
      <c r="J391">
        <v>0</v>
      </c>
      <c r="K391">
        <v>0</v>
      </c>
      <c r="L391">
        <v>0</v>
      </c>
      <c r="M391">
        <v>0</v>
      </c>
      <c r="N391">
        <v>0</v>
      </c>
      <c r="O391">
        <v>0</v>
      </c>
      <c r="P391">
        <v>0</v>
      </c>
      <c r="Q391">
        <v>0</v>
      </c>
      <c r="R391">
        <v>0</v>
      </c>
      <c r="S391">
        <v>0</v>
      </c>
      <c r="T391">
        <v>0</v>
      </c>
      <c r="U391">
        <v>0</v>
      </c>
      <c r="V391">
        <v>0</v>
      </c>
      <c r="W391">
        <v>0</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v>
      </c>
      <c r="AT391">
        <v>0</v>
      </c>
      <c r="AU391">
        <v>0</v>
      </c>
      <c r="AV391">
        <v>0</v>
      </c>
      <c r="AW391">
        <v>0</v>
      </c>
      <c r="AX391">
        <v>0</v>
      </c>
      <c r="AY391">
        <v>0</v>
      </c>
      <c r="AZ391">
        <v>0</v>
      </c>
      <c r="BA391">
        <v>0</v>
      </c>
      <c r="BB391">
        <v>0</v>
      </c>
      <c r="BC391">
        <v>0</v>
      </c>
      <c r="BD391">
        <v>0</v>
      </c>
      <c r="BE391">
        <v>0</v>
      </c>
      <c r="BF391">
        <v>0</v>
      </c>
      <c r="BG391">
        <v>0</v>
      </c>
      <c r="BH391">
        <v>0</v>
      </c>
      <c r="BI391">
        <v>0</v>
      </c>
      <c r="BJ391">
        <v>0</v>
      </c>
      <c r="BK391">
        <v>0</v>
      </c>
      <c r="BL391">
        <v>0</v>
      </c>
      <c r="BM391">
        <v>0</v>
      </c>
      <c r="BN391">
        <v>0</v>
      </c>
      <c r="BO391">
        <v>0</v>
      </c>
      <c r="BP391">
        <v>0</v>
      </c>
      <c r="BQ391">
        <v>0</v>
      </c>
      <c r="BR391">
        <v>0</v>
      </c>
      <c r="BS391">
        <v>0</v>
      </c>
      <c r="BT391">
        <v>0</v>
      </c>
      <c r="BU391">
        <v>0</v>
      </c>
      <c r="BV391">
        <v>0</v>
      </c>
      <c r="BW391">
        <v>0</v>
      </c>
      <c r="BX391">
        <v>0</v>
      </c>
      <c r="BY391">
        <v>0</v>
      </c>
      <c r="BZ391">
        <v>0</v>
      </c>
      <c r="CA391">
        <v>0</v>
      </c>
      <c r="CB391">
        <v>0</v>
      </c>
    </row>
    <row r="392" spans="1:80" x14ac:dyDescent="0.2">
      <c r="A392">
        <v>0</v>
      </c>
      <c r="B392">
        <v>0</v>
      </c>
      <c r="C392">
        <v>0</v>
      </c>
      <c r="D392">
        <v>0</v>
      </c>
      <c r="E392">
        <v>0</v>
      </c>
      <c r="F392">
        <v>0</v>
      </c>
      <c r="G392">
        <v>0</v>
      </c>
      <c r="H392">
        <v>0</v>
      </c>
      <c r="I392">
        <v>0</v>
      </c>
      <c r="J392">
        <v>0</v>
      </c>
      <c r="K392">
        <v>0</v>
      </c>
      <c r="L392">
        <v>0</v>
      </c>
      <c r="M392">
        <v>0</v>
      </c>
      <c r="N392">
        <v>0</v>
      </c>
      <c r="O392">
        <v>0</v>
      </c>
      <c r="P392">
        <v>0</v>
      </c>
      <c r="Q392">
        <v>0</v>
      </c>
      <c r="R392">
        <v>0</v>
      </c>
      <c r="S392">
        <v>0</v>
      </c>
      <c r="T392">
        <v>0</v>
      </c>
      <c r="U392">
        <v>0</v>
      </c>
      <c r="V392">
        <v>0</v>
      </c>
      <c r="W392">
        <v>0</v>
      </c>
      <c r="X392">
        <v>0</v>
      </c>
      <c r="Y392">
        <v>0</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v>0</v>
      </c>
      <c r="AY392">
        <v>0</v>
      </c>
      <c r="AZ392">
        <v>0</v>
      </c>
      <c r="BA392">
        <v>0</v>
      </c>
      <c r="BB392">
        <v>0</v>
      </c>
      <c r="BC392">
        <v>0</v>
      </c>
      <c r="BD392">
        <v>0</v>
      </c>
      <c r="BE392">
        <v>0</v>
      </c>
      <c r="BF392">
        <v>0</v>
      </c>
      <c r="BG392">
        <v>0</v>
      </c>
      <c r="BH392">
        <v>0</v>
      </c>
      <c r="BI392">
        <v>0</v>
      </c>
      <c r="BJ392">
        <v>0</v>
      </c>
      <c r="BK392">
        <v>0</v>
      </c>
      <c r="BL392">
        <v>0</v>
      </c>
      <c r="BM392">
        <v>0</v>
      </c>
      <c r="BN392">
        <v>0</v>
      </c>
      <c r="BO392">
        <v>0</v>
      </c>
      <c r="BP392">
        <v>0</v>
      </c>
      <c r="BQ392">
        <v>0</v>
      </c>
      <c r="BR392">
        <v>0</v>
      </c>
      <c r="BS392">
        <v>0</v>
      </c>
      <c r="BT392">
        <v>0</v>
      </c>
      <c r="BU392">
        <v>0</v>
      </c>
      <c r="BV392">
        <v>0</v>
      </c>
      <c r="BW392">
        <v>0</v>
      </c>
      <c r="BX392">
        <v>0</v>
      </c>
      <c r="BY392">
        <v>0</v>
      </c>
      <c r="BZ392">
        <v>0</v>
      </c>
      <c r="CA392">
        <v>0</v>
      </c>
      <c r="CB392">
        <v>0</v>
      </c>
    </row>
    <row r="393" spans="1:80" x14ac:dyDescent="0.2">
      <c r="A393">
        <v>0</v>
      </c>
      <c r="B393">
        <v>0</v>
      </c>
      <c r="C393">
        <v>0</v>
      </c>
      <c r="D393">
        <v>0</v>
      </c>
      <c r="E393">
        <v>0</v>
      </c>
      <c r="F393">
        <v>0</v>
      </c>
      <c r="G393">
        <v>0</v>
      </c>
      <c r="H393">
        <v>0</v>
      </c>
      <c r="I393">
        <v>0</v>
      </c>
      <c r="J393">
        <v>0</v>
      </c>
      <c r="K393">
        <v>0</v>
      </c>
      <c r="L393">
        <v>0</v>
      </c>
      <c r="M393">
        <v>0</v>
      </c>
      <c r="N393">
        <v>0</v>
      </c>
      <c r="O393">
        <v>0</v>
      </c>
      <c r="P393">
        <v>0</v>
      </c>
      <c r="Q393">
        <v>0</v>
      </c>
      <c r="R393">
        <v>0</v>
      </c>
      <c r="S393">
        <v>0</v>
      </c>
      <c r="T393">
        <v>0</v>
      </c>
      <c r="U393">
        <v>0</v>
      </c>
      <c r="V393">
        <v>0</v>
      </c>
      <c r="W393">
        <v>0</v>
      </c>
      <c r="X393">
        <v>0</v>
      </c>
      <c r="Y393">
        <v>0</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v>0</v>
      </c>
      <c r="AS393">
        <v>0</v>
      </c>
      <c r="AT393">
        <v>0</v>
      </c>
      <c r="AU393">
        <v>0</v>
      </c>
      <c r="AV393">
        <v>0</v>
      </c>
      <c r="AW393">
        <v>0</v>
      </c>
      <c r="AX393">
        <v>0</v>
      </c>
      <c r="AY393">
        <v>0</v>
      </c>
      <c r="AZ393">
        <v>0</v>
      </c>
      <c r="BA393">
        <v>0</v>
      </c>
      <c r="BB393">
        <v>0</v>
      </c>
      <c r="BC393">
        <v>0</v>
      </c>
      <c r="BD393">
        <v>0</v>
      </c>
      <c r="BE393">
        <v>0</v>
      </c>
      <c r="BF393">
        <v>0</v>
      </c>
      <c r="BG393">
        <v>0</v>
      </c>
      <c r="BH393">
        <v>0</v>
      </c>
      <c r="BI393">
        <v>0</v>
      </c>
      <c r="BJ393">
        <v>0</v>
      </c>
      <c r="BK393">
        <v>0</v>
      </c>
      <c r="BL393">
        <v>0</v>
      </c>
      <c r="BM393">
        <v>0</v>
      </c>
      <c r="BN393">
        <v>0</v>
      </c>
      <c r="BO393">
        <v>0</v>
      </c>
      <c r="BP393">
        <v>0</v>
      </c>
      <c r="BQ393">
        <v>0</v>
      </c>
      <c r="BR393">
        <v>0</v>
      </c>
      <c r="BS393">
        <v>0</v>
      </c>
      <c r="BT393">
        <v>0</v>
      </c>
      <c r="BU393">
        <v>0</v>
      </c>
      <c r="BV393">
        <v>0</v>
      </c>
      <c r="BW393">
        <v>0</v>
      </c>
      <c r="BX393">
        <v>0</v>
      </c>
      <c r="BY393">
        <v>0</v>
      </c>
      <c r="BZ393">
        <v>0</v>
      </c>
      <c r="CA393">
        <v>0</v>
      </c>
      <c r="CB393">
        <v>0</v>
      </c>
    </row>
    <row r="394" spans="1:80" x14ac:dyDescent="0.2">
      <c r="A394">
        <v>0</v>
      </c>
      <c r="B394">
        <v>0</v>
      </c>
      <c r="C394">
        <v>0</v>
      </c>
      <c r="D394">
        <v>0</v>
      </c>
      <c r="E394">
        <v>0</v>
      </c>
      <c r="F394">
        <v>0</v>
      </c>
      <c r="G394">
        <v>0</v>
      </c>
      <c r="H394">
        <v>0</v>
      </c>
      <c r="I394">
        <v>0</v>
      </c>
      <c r="J394">
        <v>0</v>
      </c>
      <c r="K394">
        <v>0</v>
      </c>
      <c r="L394">
        <v>0</v>
      </c>
      <c r="M394">
        <v>0</v>
      </c>
      <c r="N394">
        <v>0</v>
      </c>
      <c r="O394">
        <v>0</v>
      </c>
      <c r="P394">
        <v>0</v>
      </c>
      <c r="Q394">
        <v>0</v>
      </c>
      <c r="R394">
        <v>0</v>
      </c>
      <c r="S394">
        <v>0</v>
      </c>
      <c r="T394">
        <v>0</v>
      </c>
      <c r="U394">
        <v>0</v>
      </c>
      <c r="V394">
        <v>0</v>
      </c>
      <c r="W394">
        <v>0</v>
      </c>
      <c r="X394">
        <v>0</v>
      </c>
      <c r="Y394">
        <v>0</v>
      </c>
      <c r="Z394">
        <v>0</v>
      </c>
      <c r="AA394">
        <v>0</v>
      </c>
      <c r="AB394">
        <v>0</v>
      </c>
      <c r="AC394">
        <v>0</v>
      </c>
      <c r="AD394">
        <v>0</v>
      </c>
      <c r="AE394">
        <v>0</v>
      </c>
      <c r="AF394">
        <v>0</v>
      </c>
      <c r="AG394">
        <v>0</v>
      </c>
      <c r="AH394">
        <v>0</v>
      </c>
      <c r="AI394">
        <v>0</v>
      </c>
      <c r="AJ394">
        <v>0</v>
      </c>
      <c r="AK394">
        <v>0</v>
      </c>
      <c r="AL394">
        <v>0</v>
      </c>
      <c r="AM394">
        <v>0</v>
      </c>
      <c r="AN394">
        <v>0</v>
      </c>
      <c r="AO394">
        <v>0</v>
      </c>
      <c r="AP394">
        <v>0</v>
      </c>
      <c r="AQ394">
        <v>0</v>
      </c>
      <c r="AR394">
        <v>0</v>
      </c>
      <c r="AS394">
        <v>0</v>
      </c>
      <c r="AT394">
        <v>0</v>
      </c>
      <c r="AU394">
        <v>0</v>
      </c>
      <c r="AV394">
        <v>0</v>
      </c>
      <c r="AW394">
        <v>0</v>
      </c>
      <c r="AX394">
        <v>0</v>
      </c>
      <c r="AY394">
        <v>0</v>
      </c>
      <c r="AZ394">
        <v>0</v>
      </c>
      <c r="BA394">
        <v>0</v>
      </c>
      <c r="BB394">
        <v>0</v>
      </c>
      <c r="BC394">
        <v>0</v>
      </c>
      <c r="BD394">
        <v>0</v>
      </c>
      <c r="BE394">
        <v>0</v>
      </c>
      <c r="BF394">
        <v>0</v>
      </c>
      <c r="BG394">
        <v>0</v>
      </c>
      <c r="BH394">
        <v>0</v>
      </c>
      <c r="BI394">
        <v>0</v>
      </c>
      <c r="BJ394">
        <v>0</v>
      </c>
      <c r="BK394">
        <v>0</v>
      </c>
      <c r="BL394">
        <v>0</v>
      </c>
      <c r="BM394">
        <v>0</v>
      </c>
      <c r="BN394">
        <v>0</v>
      </c>
      <c r="BO394">
        <v>0</v>
      </c>
      <c r="BP394">
        <v>0</v>
      </c>
      <c r="BQ394">
        <v>0</v>
      </c>
      <c r="BR394">
        <v>0</v>
      </c>
      <c r="BS394">
        <v>0</v>
      </c>
      <c r="BT394">
        <v>0</v>
      </c>
      <c r="BU394">
        <v>0</v>
      </c>
      <c r="BV394">
        <v>0</v>
      </c>
      <c r="BW394">
        <v>0</v>
      </c>
      <c r="BX394">
        <v>0</v>
      </c>
      <c r="BY394">
        <v>0</v>
      </c>
      <c r="BZ394">
        <v>0</v>
      </c>
      <c r="CA394">
        <v>0</v>
      </c>
      <c r="CB394">
        <v>0</v>
      </c>
    </row>
    <row r="395" spans="1:80" x14ac:dyDescent="0.2">
      <c r="A395">
        <v>0</v>
      </c>
      <c r="B395">
        <v>0</v>
      </c>
      <c r="C395">
        <v>0</v>
      </c>
      <c r="D395">
        <v>0</v>
      </c>
      <c r="E395">
        <v>0</v>
      </c>
      <c r="F395">
        <v>0</v>
      </c>
      <c r="G395">
        <v>0</v>
      </c>
      <c r="H395">
        <v>0</v>
      </c>
      <c r="I395">
        <v>0</v>
      </c>
      <c r="J395">
        <v>0</v>
      </c>
      <c r="K395">
        <v>0</v>
      </c>
      <c r="L395">
        <v>0</v>
      </c>
      <c r="M395">
        <v>0</v>
      </c>
      <c r="N395">
        <v>0</v>
      </c>
      <c r="O395">
        <v>0</v>
      </c>
      <c r="P395">
        <v>0</v>
      </c>
      <c r="Q395">
        <v>0</v>
      </c>
      <c r="R395">
        <v>0</v>
      </c>
      <c r="S395">
        <v>0</v>
      </c>
      <c r="T395">
        <v>0</v>
      </c>
      <c r="U395">
        <v>0</v>
      </c>
      <c r="V395">
        <v>0</v>
      </c>
      <c r="W395">
        <v>0</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v>0</v>
      </c>
      <c r="AS395">
        <v>0</v>
      </c>
      <c r="AT395">
        <v>0</v>
      </c>
      <c r="AU395">
        <v>0</v>
      </c>
      <c r="AV395">
        <v>0</v>
      </c>
      <c r="AW395">
        <v>0</v>
      </c>
      <c r="AX395">
        <v>0</v>
      </c>
      <c r="AY395">
        <v>0</v>
      </c>
      <c r="AZ395">
        <v>0</v>
      </c>
      <c r="BA395">
        <v>0</v>
      </c>
      <c r="BB395">
        <v>0</v>
      </c>
      <c r="BC395">
        <v>0</v>
      </c>
      <c r="BD395">
        <v>0</v>
      </c>
      <c r="BE395">
        <v>0</v>
      </c>
      <c r="BF395">
        <v>0</v>
      </c>
      <c r="BG395">
        <v>0</v>
      </c>
      <c r="BH395">
        <v>0</v>
      </c>
      <c r="BI395">
        <v>0</v>
      </c>
      <c r="BJ395">
        <v>0</v>
      </c>
      <c r="BK395">
        <v>0</v>
      </c>
      <c r="BL395">
        <v>0</v>
      </c>
      <c r="BM395">
        <v>0</v>
      </c>
      <c r="BN395">
        <v>0</v>
      </c>
      <c r="BO395">
        <v>0</v>
      </c>
      <c r="BP395">
        <v>0</v>
      </c>
      <c r="BQ395">
        <v>0</v>
      </c>
      <c r="BR395">
        <v>0</v>
      </c>
      <c r="BS395">
        <v>0</v>
      </c>
      <c r="BT395">
        <v>0</v>
      </c>
      <c r="BU395">
        <v>0</v>
      </c>
      <c r="BV395">
        <v>0</v>
      </c>
      <c r="BW395">
        <v>0</v>
      </c>
      <c r="BX395">
        <v>0</v>
      </c>
      <c r="BY395">
        <v>0</v>
      </c>
      <c r="BZ395">
        <v>0</v>
      </c>
      <c r="CA395">
        <v>0</v>
      </c>
      <c r="CB395">
        <v>0</v>
      </c>
    </row>
    <row r="396" spans="1:80" x14ac:dyDescent="0.2">
      <c r="A396">
        <v>0</v>
      </c>
      <c r="B396">
        <v>0</v>
      </c>
      <c r="C396">
        <v>0</v>
      </c>
      <c r="D396">
        <v>0</v>
      </c>
      <c r="E396">
        <v>0</v>
      </c>
      <c r="F396">
        <v>0</v>
      </c>
      <c r="G396">
        <v>0</v>
      </c>
      <c r="H396">
        <v>0</v>
      </c>
      <c r="I396">
        <v>0</v>
      </c>
      <c r="J396">
        <v>0</v>
      </c>
      <c r="K396">
        <v>0</v>
      </c>
      <c r="L396">
        <v>0</v>
      </c>
      <c r="M396">
        <v>0</v>
      </c>
      <c r="N396">
        <v>0</v>
      </c>
      <c r="O396">
        <v>0</v>
      </c>
      <c r="P396">
        <v>0</v>
      </c>
      <c r="Q396">
        <v>0</v>
      </c>
      <c r="R396">
        <v>0</v>
      </c>
      <c r="S396">
        <v>0</v>
      </c>
      <c r="T396">
        <v>0</v>
      </c>
      <c r="U396">
        <v>0</v>
      </c>
      <c r="V396">
        <v>0</v>
      </c>
      <c r="W396">
        <v>0</v>
      </c>
      <c r="X396">
        <v>0</v>
      </c>
      <c r="Y396">
        <v>0</v>
      </c>
      <c r="Z396">
        <v>0</v>
      </c>
      <c r="AA396">
        <v>0</v>
      </c>
      <c r="AB396">
        <v>0</v>
      </c>
      <c r="AC396">
        <v>0</v>
      </c>
      <c r="AD396">
        <v>0</v>
      </c>
      <c r="AE396">
        <v>0</v>
      </c>
      <c r="AF396">
        <v>0</v>
      </c>
      <c r="AG396">
        <v>0</v>
      </c>
      <c r="AH396">
        <v>0</v>
      </c>
      <c r="AI396">
        <v>0</v>
      </c>
      <c r="AJ396">
        <v>0</v>
      </c>
      <c r="AK396">
        <v>0</v>
      </c>
      <c r="AL396">
        <v>0</v>
      </c>
      <c r="AM396">
        <v>0</v>
      </c>
      <c r="AN396">
        <v>0</v>
      </c>
      <c r="AO396">
        <v>0</v>
      </c>
      <c r="AP396">
        <v>0</v>
      </c>
      <c r="AQ396">
        <v>0</v>
      </c>
      <c r="AR396">
        <v>0</v>
      </c>
      <c r="AS396">
        <v>0</v>
      </c>
      <c r="AT396">
        <v>0</v>
      </c>
      <c r="AU396">
        <v>0</v>
      </c>
      <c r="AV396">
        <v>0</v>
      </c>
      <c r="AW396">
        <v>0</v>
      </c>
      <c r="AX396">
        <v>0</v>
      </c>
      <c r="AY396">
        <v>0</v>
      </c>
      <c r="AZ396">
        <v>0</v>
      </c>
      <c r="BA396">
        <v>0</v>
      </c>
      <c r="BB396">
        <v>0</v>
      </c>
      <c r="BC396">
        <v>0</v>
      </c>
      <c r="BD396">
        <v>0</v>
      </c>
      <c r="BE396">
        <v>0</v>
      </c>
      <c r="BF396">
        <v>0</v>
      </c>
      <c r="BG396">
        <v>0</v>
      </c>
      <c r="BH396">
        <v>0</v>
      </c>
      <c r="BI396">
        <v>0</v>
      </c>
      <c r="BJ396">
        <v>0</v>
      </c>
      <c r="BK396">
        <v>0</v>
      </c>
      <c r="BL396">
        <v>0</v>
      </c>
      <c r="BM396">
        <v>0</v>
      </c>
      <c r="BN396">
        <v>0</v>
      </c>
      <c r="BO396">
        <v>0</v>
      </c>
      <c r="BP396">
        <v>0</v>
      </c>
      <c r="BQ396">
        <v>0</v>
      </c>
      <c r="BR396">
        <v>0</v>
      </c>
      <c r="BS396">
        <v>0</v>
      </c>
      <c r="BT396">
        <v>0</v>
      </c>
      <c r="BU396">
        <v>0</v>
      </c>
      <c r="BV396">
        <v>0</v>
      </c>
      <c r="BW396">
        <v>0</v>
      </c>
      <c r="BX396">
        <v>0</v>
      </c>
      <c r="BY396">
        <v>0</v>
      </c>
      <c r="BZ396">
        <v>0</v>
      </c>
      <c r="CA396">
        <v>0</v>
      </c>
      <c r="CB396">
        <v>0</v>
      </c>
    </row>
    <row r="397" spans="1:80" x14ac:dyDescent="0.2">
      <c r="A397">
        <v>0</v>
      </c>
      <c r="B397">
        <v>0</v>
      </c>
      <c r="C397">
        <v>0</v>
      </c>
      <c r="D397">
        <v>0</v>
      </c>
      <c r="E397">
        <v>0</v>
      </c>
      <c r="F397">
        <v>0</v>
      </c>
      <c r="G397">
        <v>0</v>
      </c>
      <c r="H397">
        <v>0</v>
      </c>
      <c r="I397">
        <v>0</v>
      </c>
      <c r="J397">
        <v>0</v>
      </c>
      <c r="K397">
        <v>0</v>
      </c>
      <c r="L397">
        <v>0</v>
      </c>
      <c r="M397">
        <v>0</v>
      </c>
      <c r="N397">
        <v>0</v>
      </c>
      <c r="O397">
        <v>0</v>
      </c>
      <c r="P397">
        <v>0</v>
      </c>
      <c r="Q397">
        <v>0</v>
      </c>
      <c r="R397">
        <v>0</v>
      </c>
      <c r="S397">
        <v>0</v>
      </c>
      <c r="T397">
        <v>0</v>
      </c>
      <c r="U397">
        <v>0</v>
      </c>
      <c r="V397">
        <v>0</v>
      </c>
      <c r="W397">
        <v>0</v>
      </c>
      <c r="X397">
        <v>0</v>
      </c>
      <c r="Y397">
        <v>0</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J397">
        <v>0</v>
      </c>
      <c r="BK397">
        <v>0</v>
      </c>
      <c r="BL397">
        <v>0</v>
      </c>
      <c r="BM397">
        <v>0</v>
      </c>
      <c r="BN397">
        <v>0</v>
      </c>
      <c r="BO397">
        <v>0</v>
      </c>
      <c r="BP397">
        <v>0</v>
      </c>
      <c r="BQ397">
        <v>0</v>
      </c>
      <c r="BR397">
        <v>0</v>
      </c>
      <c r="BS397">
        <v>0</v>
      </c>
      <c r="BT397">
        <v>0</v>
      </c>
      <c r="BU397">
        <v>0</v>
      </c>
      <c r="BV397">
        <v>0</v>
      </c>
      <c r="BW397">
        <v>0</v>
      </c>
      <c r="BX397">
        <v>0</v>
      </c>
      <c r="BY397">
        <v>0</v>
      </c>
      <c r="BZ397">
        <v>0</v>
      </c>
      <c r="CA397">
        <v>0</v>
      </c>
      <c r="CB397">
        <v>0</v>
      </c>
    </row>
    <row r="398" spans="1:80" x14ac:dyDescent="0.2">
      <c r="A398">
        <v>0</v>
      </c>
      <c r="B398">
        <v>0</v>
      </c>
      <c r="C398">
        <v>0</v>
      </c>
      <c r="D398">
        <v>0</v>
      </c>
      <c r="E398">
        <v>0</v>
      </c>
      <c r="F398">
        <v>0</v>
      </c>
      <c r="G398">
        <v>0</v>
      </c>
      <c r="H398">
        <v>0</v>
      </c>
      <c r="I398">
        <v>0</v>
      </c>
      <c r="J398">
        <v>0</v>
      </c>
      <c r="K398">
        <v>0</v>
      </c>
      <c r="L398">
        <v>0</v>
      </c>
      <c r="M398">
        <v>0</v>
      </c>
      <c r="N398">
        <v>0</v>
      </c>
      <c r="O398">
        <v>0</v>
      </c>
      <c r="P398">
        <v>0</v>
      </c>
      <c r="Q398">
        <v>0</v>
      </c>
      <c r="R398">
        <v>0</v>
      </c>
      <c r="S398">
        <v>0</v>
      </c>
      <c r="T398">
        <v>0</v>
      </c>
      <c r="U398">
        <v>0</v>
      </c>
      <c r="V398">
        <v>0</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0</v>
      </c>
      <c r="BY398">
        <v>0</v>
      </c>
      <c r="BZ398">
        <v>0</v>
      </c>
      <c r="CA398">
        <v>0</v>
      </c>
      <c r="CB398">
        <v>0</v>
      </c>
    </row>
    <row r="399" spans="1:80" x14ac:dyDescent="0.2">
      <c r="A399">
        <v>0</v>
      </c>
      <c r="B399">
        <v>0</v>
      </c>
      <c r="C399">
        <v>0</v>
      </c>
      <c r="D399">
        <v>0</v>
      </c>
      <c r="E399">
        <v>0</v>
      </c>
      <c r="F399">
        <v>0</v>
      </c>
      <c r="G399">
        <v>0</v>
      </c>
      <c r="H399">
        <v>0</v>
      </c>
      <c r="I399">
        <v>0</v>
      </c>
      <c r="J399">
        <v>0</v>
      </c>
      <c r="K399">
        <v>0</v>
      </c>
      <c r="L399">
        <v>0</v>
      </c>
      <c r="M399">
        <v>0</v>
      </c>
      <c r="N399">
        <v>0</v>
      </c>
      <c r="O399">
        <v>0</v>
      </c>
      <c r="P399">
        <v>0</v>
      </c>
      <c r="Q399">
        <v>0</v>
      </c>
      <c r="R399">
        <v>0</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v>0</v>
      </c>
      <c r="AW399">
        <v>0</v>
      </c>
      <c r="AX399">
        <v>0</v>
      </c>
      <c r="AY399">
        <v>0</v>
      </c>
      <c r="AZ399">
        <v>0</v>
      </c>
      <c r="BA399">
        <v>0</v>
      </c>
      <c r="BB399">
        <v>0</v>
      </c>
      <c r="BC399">
        <v>0</v>
      </c>
      <c r="BD399">
        <v>0</v>
      </c>
      <c r="BE399">
        <v>0</v>
      </c>
      <c r="BF399">
        <v>0</v>
      </c>
      <c r="BG399">
        <v>0</v>
      </c>
      <c r="BH399">
        <v>0</v>
      </c>
      <c r="BI399">
        <v>0</v>
      </c>
      <c r="BJ399">
        <v>0</v>
      </c>
      <c r="BK399">
        <v>0</v>
      </c>
      <c r="BL399">
        <v>0</v>
      </c>
      <c r="BM399">
        <v>0</v>
      </c>
      <c r="BN399">
        <v>0</v>
      </c>
      <c r="BO399">
        <v>0</v>
      </c>
      <c r="BP399">
        <v>0</v>
      </c>
      <c r="BQ399">
        <v>0</v>
      </c>
      <c r="BR399">
        <v>0</v>
      </c>
      <c r="BS399">
        <v>0</v>
      </c>
      <c r="BT399">
        <v>0</v>
      </c>
      <c r="BU399">
        <v>0</v>
      </c>
      <c r="BV399">
        <v>0</v>
      </c>
      <c r="BW399">
        <v>0</v>
      </c>
      <c r="BX399">
        <v>0</v>
      </c>
      <c r="BY399">
        <v>0</v>
      </c>
      <c r="BZ399">
        <v>0</v>
      </c>
      <c r="CA399">
        <v>0</v>
      </c>
      <c r="CB399">
        <v>0</v>
      </c>
    </row>
    <row r="400" spans="1:80" x14ac:dyDescent="0.2">
      <c r="A400">
        <v>0</v>
      </c>
      <c r="B400">
        <v>0</v>
      </c>
      <c r="C400">
        <v>0</v>
      </c>
      <c r="D400">
        <v>0</v>
      </c>
      <c r="E400">
        <v>0</v>
      </c>
      <c r="F400">
        <v>0</v>
      </c>
      <c r="G400">
        <v>0</v>
      </c>
      <c r="H400">
        <v>0</v>
      </c>
      <c r="I400">
        <v>0</v>
      </c>
      <c r="J400">
        <v>0</v>
      </c>
      <c r="K400">
        <v>0</v>
      </c>
      <c r="L400">
        <v>0</v>
      </c>
      <c r="M400">
        <v>0</v>
      </c>
      <c r="N400">
        <v>0</v>
      </c>
      <c r="O400">
        <v>0</v>
      </c>
      <c r="P400">
        <v>0</v>
      </c>
      <c r="Q400">
        <v>0</v>
      </c>
      <c r="R400">
        <v>0</v>
      </c>
      <c r="S400">
        <v>0</v>
      </c>
      <c r="T400">
        <v>0</v>
      </c>
      <c r="U400">
        <v>0</v>
      </c>
      <c r="V400">
        <v>0</v>
      </c>
      <c r="W400">
        <v>0</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v>0</v>
      </c>
      <c r="AS400">
        <v>0</v>
      </c>
      <c r="AT400">
        <v>0</v>
      </c>
      <c r="AU400">
        <v>0</v>
      </c>
      <c r="AV400">
        <v>0</v>
      </c>
      <c r="AW400">
        <v>0</v>
      </c>
      <c r="AX400">
        <v>0</v>
      </c>
      <c r="AY400">
        <v>0</v>
      </c>
      <c r="AZ400">
        <v>0</v>
      </c>
      <c r="BA400">
        <v>0</v>
      </c>
      <c r="BB400">
        <v>0</v>
      </c>
      <c r="BC400">
        <v>0</v>
      </c>
      <c r="BD400">
        <v>0</v>
      </c>
      <c r="BE400">
        <v>0</v>
      </c>
      <c r="BF400">
        <v>0</v>
      </c>
      <c r="BG400">
        <v>0</v>
      </c>
      <c r="BH400">
        <v>0</v>
      </c>
      <c r="BI400">
        <v>0</v>
      </c>
      <c r="BJ400">
        <v>0</v>
      </c>
      <c r="BK400">
        <v>0</v>
      </c>
      <c r="BL400">
        <v>0</v>
      </c>
      <c r="BM400">
        <v>0</v>
      </c>
      <c r="BN400">
        <v>0</v>
      </c>
      <c r="BO400">
        <v>0</v>
      </c>
      <c r="BP400">
        <v>0</v>
      </c>
      <c r="BQ400">
        <v>0</v>
      </c>
      <c r="BR400">
        <v>0</v>
      </c>
      <c r="BS400">
        <v>0</v>
      </c>
      <c r="BT400">
        <v>0</v>
      </c>
      <c r="BU400">
        <v>0</v>
      </c>
      <c r="BV400">
        <v>0</v>
      </c>
      <c r="BW400">
        <v>0</v>
      </c>
      <c r="BX400">
        <v>0</v>
      </c>
      <c r="BY400">
        <v>0</v>
      </c>
      <c r="BZ400">
        <v>0</v>
      </c>
      <c r="CA400">
        <v>0</v>
      </c>
      <c r="CB400">
        <v>0</v>
      </c>
    </row>
    <row r="401" spans="1:80" x14ac:dyDescent="0.2">
      <c r="A401">
        <v>0</v>
      </c>
      <c r="B401">
        <v>0</v>
      </c>
      <c r="C401">
        <v>0</v>
      </c>
      <c r="D401">
        <v>0</v>
      </c>
      <c r="E401">
        <v>0</v>
      </c>
      <c r="F401">
        <v>0</v>
      </c>
      <c r="G401">
        <v>0</v>
      </c>
      <c r="H401">
        <v>0</v>
      </c>
      <c r="I401">
        <v>0</v>
      </c>
      <c r="J401">
        <v>0</v>
      </c>
      <c r="K401">
        <v>0</v>
      </c>
      <c r="L401">
        <v>0</v>
      </c>
      <c r="M401">
        <v>0</v>
      </c>
      <c r="N401">
        <v>0</v>
      </c>
      <c r="O401">
        <v>0</v>
      </c>
      <c r="P401">
        <v>0</v>
      </c>
      <c r="Q401">
        <v>0</v>
      </c>
      <c r="R401">
        <v>0</v>
      </c>
      <c r="S401">
        <v>0</v>
      </c>
      <c r="T401">
        <v>0</v>
      </c>
      <c r="U401">
        <v>0</v>
      </c>
      <c r="V401">
        <v>0</v>
      </c>
      <c r="W401">
        <v>0</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0</v>
      </c>
      <c r="AQ401">
        <v>0</v>
      </c>
      <c r="AR401">
        <v>0</v>
      </c>
      <c r="AS401">
        <v>0</v>
      </c>
      <c r="AT401">
        <v>0</v>
      </c>
      <c r="AU401">
        <v>0</v>
      </c>
      <c r="AV401">
        <v>0</v>
      </c>
      <c r="AW401">
        <v>0</v>
      </c>
      <c r="AX401">
        <v>0</v>
      </c>
      <c r="AY401">
        <v>0</v>
      </c>
      <c r="AZ401">
        <v>0</v>
      </c>
      <c r="BA401">
        <v>0</v>
      </c>
      <c r="BB401">
        <v>0</v>
      </c>
      <c r="BC401">
        <v>0</v>
      </c>
      <c r="BD401">
        <v>0</v>
      </c>
      <c r="BE401">
        <v>0</v>
      </c>
      <c r="BF401">
        <v>0</v>
      </c>
      <c r="BG401">
        <v>0</v>
      </c>
      <c r="BH401">
        <v>0</v>
      </c>
      <c r="BI401">
        <v>0</v>
      </c>
      <c r="BJ401">
        <v>0</v>
      </c>
      <c r="BK401">
        <v>0</v>
      </c>
      <c r="BL401">
        <v>0</v>
      </c>
      <c r="BM401">
        <v>0</v>
      </c>
      <c r="BN401">
        <v>0</v>
      </c>
      <c r="BO401">
        <v>0</v>
      </c>
      <c r="BP401">
        <v>0</v>
      </c>
      <c r="BQ401">
        <v>0</v>
      </c>
      <c r="BR401">
        <v>0</v>
      </c>
      <c r="BS401">
        <v>0</v>
      </c>
      <c r="BT401">
        <v>0</v>
      </c>
      <c r="BU401">
        <v>0</v>
      </c>
      <c r="BV401">
        <v>0</v>
      </c>
      <c r="BW401">
        <v>0</v>
      </c>
      <c r="BX401">
        <v>0</v>
      </c>
      <c r="BY401">
        <v>0</v>
      </c>
      <c r="BZ401">
        <v>0</v>
      </c>
      <c r="CA401">
        <v>0</v>
      </c>
      <c r="CB401">
        <v>0</v>
      </c>
    </row>
    <row r="402" spans="1:80" x14ac:dyDescent="0.2">
      <c r="A402">
        <v>0</v>
      </c>
      <c r="B402">
        <v>0</v>
      </c>
      <c r="C402">
        <v>0</v>
      </c>
      <c r="D402">
        <v>0</v>
      </c>
      <c r="E402">
        <v>0</v>
      </c>
      <c r="F402">
        <v>0</v>
      </c>
      <c r="G402">
        <v>0</v>
      </c>
      <c r="H402">
        <v>0</v>
      </c>
      <c r="I402">
        <v>0</v>
      </c>
      <c r="J402">
        <v>0</v>
      </c>
      <c r="K402">
        <v>0</v>
      </c>
      <c r="L402">
        <v>0</v>
      </c>
      <c r="M402">
        <v>0</v>
      </c>
      <c r="N402">
        <v>0</v>
      </c>
      <c r="O402">
        <v>0</v>
      </c>
      <c r="P402">
        <v>0</v>
      </c>
      <c r="Q402">
        <v>0</v>
      </c>
      <c r="R402">
        <v>0</v>
      </c>
      <c r="S402">
        <v>0</v>
      </c>
      <c r="T402">
        <v>0</v>
      </c>
      <c r="U402">
        <v>0</v>
      </c>
      <c r="V402">
        <v>0</v>
      </c>
      <c r="W402">
        <v>0</v>
      </c>
      <c r="X402">
        <v>0</v>
      </c>
      <c r="Y402">
        <v>0</v>
      </c>
      <c r="Z402">
        <v>0</v>
      </c>
      <c r="AA402">
        <v>0</v>
      </c>
      <c r="AB402">
        <v>0</v>
      </c>
      <c r="AC402">
        <v>0</v>
      </c>
      <c r="AD402">
        <v>0</v>
      </c>
      <c r="AE402">
        <v>0</v>
      </c>
      <c r="AF402">
        <v>0</v>
      </c>
      <c r="AG402">
        <v>0</v>
      </c>
      <c r="AH402">
        <v>0</v>
      </c>
      <c r="AI402">
        <v>0</v>
      </c>
      <c r="AJ402">
        <v>0</v>
      </c>
      <c r="AK402">
        <v>0</v>
      </c>
      <c r="AL402">
        <v>0</v>
      </c>
      <c r="AM402">
        <v>0</v>
      </c>
      <c r="AN402">
        <v>0</v>
      </c>
      <c r="AO402">
        <v>0</v>
      </c>
      <c r="AP402">
        <v>0</v>
      </c>
      <c r="AQ402">
        <v>0</v>
      </c>
      <c r="AR402">
        <v>0</v>
      </c>
      <c r="AS402">
        <v>0</v>
      </c>
      <c r="AT402">
        <v>0</v>
      </c>
      <c r="AU402">
        <v>0</v>
      </c>
      <c r="AV402">
        <v>0</v>
      </c>
      <c r="AW402">
        <v>0</v>
      </c>
      <c r="AX402">
        <v>0</v>
      </c>
      <c r="AY402">
        <v>0</v>
      </c>
      <c r="AZ402">
        <v>0</v>
      </c>
      <c r="BA402">
        <v>0</v>
      </c>
      <c r="BB402">
        <v>0</v>
      </c>
      <c r="BC402">
        <v>0</v>
      </c>
      <c r="BD402">
        <v>0</v>
      </c>
      <c r="BE402">
        <v>0</v>
      </c>
      <c r="BF402">
        <v>0</v>
      </c>
      <c r="BG402">
        <v>0</v>
      </c>
      <c r="BH402">
        <v>0</v>
      </c>
      <c r="BI402">
        <v>0</v>
      </c>
      <c r="BJ402">
        <v>0</v>
      </c>
      <c r="BK402">
        <v>0</v>
      </c>
      <c r="BL402">
        <v>0</v>
      </c>
      <c r="BM402">
        <v>0</v>
      </c>
      <c r="BN402">
        <v>0</v>
      </c>
      <c r="BO402">
        <v>0</v>
      </c>
      <c r="BP402">
        <v>0</v>
      </c>
      <c r="BQ402">
        <v>0</v>
      </c>
      <c r="BR402">
        <v>0</v>
      </c>
      <c r="BS402">
        <v>0</v>
      </c>
      <c r="BT402">
        <v>0</v>
      </c>
      <c r="BU402">
        <v>0</v>
      </c>
      <c r="BV402">
        <v>0</v>
      </c>
      <c r="BW402">
        <v>0</v>
      </c>
      <c r="BX402">
        <v>0</v>
      </c>
      <c r="BY402">
        <v>0</v>
      </c>
      <c r="BZ402">
        <v>0</v>
      </c>
      <c r="CA402">
        <v>0</v>
      </c>
      <c r="CB402">
        <v>0</v>
      </c>
    </row>
    <row r="403" spans="1:80" x14ac:dyDescent="0.2">
      <c r="A403">
        <v>0</v>
      </c>
      <c r="B403">
        <v>0</v>
      </c>
      <c r="C403">
        <v>0</v>
      </c>
      <c r="D403">
        <v>0</v>
      </c>
      <c r="E403">
        <v>0</v>
      </c>
      <c r="F403">
        <v>0</v>
      </c>
      <c r="G403">
        <v>0</v>
      </c>
      <c r="H403">
        <v>0</v>
      </c>
      <c r="I403">
        <v>0</v>
      </c>
      <c r="J403">
        <v>0</v>
      </c>
      <c r="K403">
        <v>0</v>
      </c>
      <c r="L403">
        <v>0</v>
      </c>
      <c r="M403">
        <v>0</v>
      </c>
      <c r="N403">
        <v>0</v>
      </c>
      <c r="O403">
        <v>0</v>
      </c>
      <c r="P403">
        <v>0</v>
      </c>
      <c r="Q403">
        <v>0</v>
      </c>
      <c r="R403">
        <v>0</v>
      </c>
      <c r="S403">
        <v>0</v>
      </c>
      <c r="T403">
        <v>0</v>
      </c>
      <c r="U403">
        <v>0</v>
      </c>
      <c r="V403">
        <v>0</v>
      </c>
      <c r="W403">
        <v>0</v>
      </c>
      <c r="X403">
        <v>0</v>
      </c>
      <c r="Y403">
        <v>0</v>
      </c>
      <c r="Z403">
        <v>0</v>
      </c>
      <c r="AA403">
        <v>0</v>
      </c>
      <c r="AB403">
        <v>0</v>
      </c>
      <c r="AC403">
        <v>0</v>
      </c>
      <c r="AD403">
        <v>0</v>
      </c>
      <c r="AE403">
        <v>0</v>
      </c>
      <c r="AF403">
        <v>0</v>
      </c>
      <c r="AG403">
        <v>0</v>
      </c>
      <c r="AH403">
        <v>0</v>
      </c>
      <c r="AI403">
        <v>0</v>
      </c>
      <c r="AJ403">
        <v>0</v>
      </c>
      <c r="AK403">
        <v>0</v>
      </c>
      <c r="AL403">
        <v>0</v>
      </c>
      <c r="AM403">
        <v>0</v>
      </c>
      <c r="AN403">
        <v>0</v>
      </c>
      <c r="AO403">
        <v>0</v>
      </c>
      <c r="AP403">
        <v>0</v>
      </c>
      <c r="AQ403">
        <v>0</v>
      </c>
      <c r="AR403">
        <v>0</v>
      </c>
      <c r="AS403">
        <v>0</v>
      </c>
      <c r="AT403">
        <v>0</v>
      </c>
      <c r="AU403">
        <v>0</v>
      </c>
      <c r="AV403">
        <v>0</v>
      </c>
      <c r="AW403">
        <v>0</v>
      </c>
      <c r="AX403">
        <v>0</v>
      </c>
      <c r="AY403">
        <v>0</v>
      </c>
      <c r="AZ403">
        <v>0</v>
      </c>
      <c r="BA403">
        <v>0</v>
      </c>
      <c r="BB403">
        <v>0</v>
      </c>
      <c r="BC403">
        <v>0</v>
      </c>
      <c r="BD403">
        <v>0</v>
      </c>
      <c r="BE403">
        <v>0</v>
      </c>
      <c r="BF403">
        <v>0</v>
      </c>
      <c r="BG403">
        <v>0</v>
      </c>
      <c r="BH403">
        <v>0</v>
      </c>
      <c r="BI403">
        <v>0</v>
      </c>
      <c r="BJ403">
        <v>0</v>
      </c>
      <c r="BK403">
        <v>0</v>
      </c>
      <c r="BL403">
        <v>0</v>
      </c>
      <c r="BM403">
        <v>0</v>
      </c>
      <c r="BN403">
        <v>0</v>
      </c>
      <c r="BO403">
        <v>0</v>
      </c>
      <c r="BP403">
        <v>0</v>
      </c>
      <c r="BQ403">
        <v>0</v>
      </c>
      <c r="BR403">
        <v>0</v>
      </c>
      <c r="BS403">
        <v>0</v>
      </c>
      <c r="BT403">
        <v>0</v>
      </c>
      <c r="BU403">
        <v>0</v>
      </c>
      <c r="BV403">
        <v>0</v>
      </c>
      <c r="BW403">
        <v>0</v>
      </c>
      <c r="BX403">
        <v>0</v>
      </c>
      <c r="BY403">
        <v>0</v>
      </c>
      <c r="BZ403">
        <v>0</v>
      </c>
      <c r="CA403">
        <v>0</v>
      </c>
      <c r="CB403">
        <v>0</v>
      </c>
    </row>
    <row r="404" spans="1:80" x14ac:dyDescent="0.2">
      <c r="A404">
        <v>0</v>
      </c>
      <c r="B404">
        <v>0</v>
      </c>
      <c r="C404">
        <v>0</v>
      </c>
      <c r="D404">
        <v>0</v>
      </c>
      <c r="E404">
        <v>0</v>
      </c>
      <c r="F404">
        <v>0</v>
      </c>
      <c r="G404">
        <v>0</v>
      </c>
      <c r="H404">
        <v>0</v>
      </c>
      <c r="I404">
        <v>0</v>
      </c>
      <c r="J404">
        <v>0</v>
      </c>
      <c r="K404">
        <v>0</v>
      </c>
      <c r="L404">
        <v>0</v>
      </c>
      <c r="M404">
        <v>0</v>
      </c>
      <c r="N404">
        <v>0</v>
      </c>
      <c r="O404">
        <v>0</v>
      </c>
      <c r="P404">
        <v>0</v>
      </c>
      <c r="Q404">
        <v>0</v>
      </c>
      <c r="R404">
        <v>0</v>
      </c>
      <c r="S404">
        <v>0</v>
      </c>
      <c r="T404">
        <v>0</v>
      </c>
      <c r="U404">
        <v>0</v>
      </c>
      <c r="V404">
        <v>0</v>
      </c>
      <c r="W404">
        <v>0</v>
      </c>
      <c r="X404">
        <v>0</v>
      </c>
      <c r="Y404">
        <v>0</v>
      </c>
      <c r="Z404">
        <v>0</v>
      </c>
      <c r="AA404">
        <v>0</v>
      </c>
      <c r="AB404">
        <v>0</v>
      </c>
      <c r="AC404">
        <v>0</v>
      </c>
      <c r="AD404">
        <v>0</v>
      </c>
      <c r="AE404">
        <v>0</v>
      </c>
      <c r="AF404">
        <v>0</v>
      </c>
      <c r="AG404">
        <v>0</v>
      </c>
      <c r="AH404">
        <v>0</v>
      </c>
      <c r="AI404">
        <v>0</v>
      </c>
      <c r="AJ404">
        <v>0</v>
      </c>
      <c r="AK404">
        <v>0</v>
      </c>
      <c r="AL404">
        <v>0</v>
      </c>
      <c r="AM404">
        <v>0</v>
      </c>
      <c r="AN404">
        <v>0</v>
      </c>
      <c r="AO404">
        <v>0</v>
      </c>
      <c r="AP404">
        <v>0</v>
      </c>
      <c r="AQ404">
        <v>0</v>
      </c>
      <c r="AR404">
        <v>0</v>
      </c>
      <c r="AS404">
        <v>0</v>
      </c>
      <c r="AT404">
        <v>0</v>
      </c>
      <c r="AU404">
        <v>0</v>
      </c>
      <c r="AV404">
        <v>0</v>
      </c>
      <c r="AW404">
        <v>0</v>
      </c>
      <c r="AX404">
        <v>0</v>
      </c>
      <c r="AY404">
        <v>0</v>
      </c>
      <c r="AZ404">
        <v>0</v>
      </c>
      <c r="BA404">
        <v>0</v>
      </c>
      <c r="BB404">
        <v>0</v>
      </c>
      <c r="BC404">
        <v>0</v>
      </c>
      <c r="BD404">
        <v>0</v>
      </c>
      <c r="BE404">
        <v>0</v>
      </c>
      <c r="BF404">
        <v>0</v>
      </c>
      <c r="BG404">
        <v>0</v>
      </c>
      <c r="BH404">
        <v>0</v>
      </c>
      <c r="BI404">
        <v>0</v>
      </c>
      <c r="BJ404">
        <v>0</v>
      </c>
      <c r="BK404">
        <v>0</v>
      </c>
      <c r="BL404">
        <v>0</v>
      </c>
      <c r="BM404">
        <v>0</v>
      </c>
      <c r="BN404">
        <v>0</v>
      </c>
      <c r="BO404">
        <v>0</v>
      </c>
      <c r="BP404">
        <v>0</v>
      </c>
      <c r="BQ404">
        <v>0</v>
      </c>
      <c r="BR404">
        <v>0</v>
      </c>
      <c r="BS404">
        <v>0</v>
      </c>
      <c r="BT404">
        <v>0</v>
      </c>
      <c r="BU404">
        <v>0</v>
      </c>
      <c r="BV404">
        <v>0</v>
      </c>
      <c r="BW404">
        <v>0</v>
      </c>
      <c r="BX404">
        <v>0</v>
      </c>
      <c r="BY404">
        <v>0</v>
      </c>
      <c r="BZ404">
        <v>0</v>
      </c>
      <c r="CA404">
        <v>0</v>
      </c>
      <c r="CB404">
        <v>0</v>
      </c>
    </row>
    <row r="405" spans="1:80" x14ac:dyDescent="0.2">
      <c r="A405">
        <v>0</v>
      </c>
      <c r="B405">
        <v>0</v>
      </c>
      <c r="C405">
        <v>0</v>
      </c>
      <c r="D405">
        <v>0</v>
      </c>
      <c r="E405">
        <v>0</v>
      </c>
      <c r="F405">
        <v>0</v>
      </c>
      <c r="G405">
        <v>0</v>
      </c>
      <c r="H405">
        <v>0</v>
      </c>
      <c r="I405">
        <v>0</v>
      </c>
      <c r="J405">
        <v>0</v>
      </c>
      <c r="K405">
        <v>0</v>
      </c>
      <c r="L405">
        <v>0</v>
      </c>
      <c r="M405">
        <v>0</v>
      </c>
      <c r="N405">
        <v>0</v>
      </c>
      <c r="O405">
        <v>0</v>
      </c>
      <c r="P405">
        <v>0</v>
      </c>
      <c r="Q405">
        <v>0</v>
      </c>
      <c r="R405">
        <v>0</v>
      </c>
      <c r="S405">
        <v>0</v>
      </c>
      <c r="T405">
        <v>0</v>
      </c>
      <c r="U405">
        <v>0</v>
      </c>
      <c r="V405">
        <v>0</v>
      </c>
      <c r="W405">
        <v>0</v>
      </c>
      <c r="X405">
        <v>0</v>
      </c>
      <c r="Y405">
        <v>0</v>
      </c>
      <c r="Z405">
        <v>0</v>
      </c>
      <c r="AA405">
        <v>0</v>
      </c>
      <c r="AB405">
        <v>0</v>
      </c>
      <c r="AC405">
        <v>0</v>
      </c>
      <c r="AD405">
        <v>0</v>
      </c>
      <c r="AE405">
        <v>0</v>
      </c>
      <c r="AF405">
        <v>0</v>
      </c>
      <c r="AG405">
        <v>0</v>
      </c>
      <c r="AH405">
        <v>0</v>
      </c>
      <c r="AI405">
        <v>0</v>
      </c>
      <c r="AJ405">
        <v>0</v>
      </c>
      <c r="AK405">
        <v>0</v>
      </c>
      <c r="AL405">
        <v>0</v>
      </c>
      <c r="AM405">
        <v>0</v>
      </c>
      <c r="AN405">
        <v>0</v>
      </c>
      <c r="AO405">
        <v>0</v>
      </c>
      <c r="AP405">
        <v>0</v>
      </c>
      <c r="AQ405">
        <v>0</v>
      </c>
      <c r="AR405">
        <v>0</v>
      </c>
      <c r="AS405">
        <v>0</v>
      </c>
      <c r="AT405">
        <v>0</v>
      </c>
      <c r="AU405">
        <v>0</v>
      </c>
      <c r="AV405">
        <v>0</v>
      </c>
      <c r="AW405">
        <v>0</v>
      </c>
      <c r="AX405">
        <v>0</v>
      </c>
      <c r="AY405">
        <v>0</v>
      </c>
      <c r="AZ405">
        <v>0</v>
      </c>
      <c r="BA405">
        <v>0</v>
      </c>
      <c r="BB405">
        <v>0</v>
      </c>
      <c r="BC405">
        <v>0</v>
      </c>
      <c r="BD405">
        <v>0</v>
      </c>
      <c r="BE405">
        <v>0</v>
      </c>
      <c r="BF405">
        <v>0</v>
      </c>
      <c r="BG405">
        <v>0</v>
      </c>
      <c r="BH405">
        <v>0</v>
      </c>
      <c r="BI405">
        <v>0</v>
      </c>
      <c r="BJ405">
        <v>0</v>
      </c>
      <c r="BK405">
        <v>0</v>
      </c>
      <c r="BL405">
        <v>0</v>
      </c>
      <c r="BM405">
        <v>0</v>
      </c>
      <c r="BN405">
        <v>0</v>
      </c>
      <c r="BO405">
        <v>0</v>
      </c>
      <c r="BP405">
        <v>0</v>
      </c>
      <c r="BQ405">
        <v>0</v>
      </c>
      <c r="BR405">
        <v>0</v>
      </c>
      <c r="BS405">
        <v>0</v>
      </c>
      <c r="BT405">
        <v>0</v>
      </c>
      <c r="BU405">
        <v>0</v>
      </c>
      <c r="BV405">
        <v>0</v>
      </c>
      <c r="BW405">
        <v>0</v>
      </c>
      <c r="BX405">
        <v>0</v>
      </c>
      <c r="BY405">
        <v>0</v>
      </c>
      <c r="BZ405">
        <v>0</v>
      </c>
      <c r="CA405">
        <v>0</v>
      </c>
      <c r="CB405">
        <v>0</v>
      </c>
    </row>
    <row r="406" spans="1:80" x14ac:dyDescent="0.2">
      <c r="A406">
        <v>0</v>
      </c>
      <c r="B406">
        <v>0</v>
      </c>
      <c r="C406">
        <v>0</v>
      </c>
      <c r="D406">
        <v>0</v>
      </c>
      <c r="E406">
        <v>0</v>
      </c>
      <c r="F406">
        <v>0</v>
      </c>
      <c r="G406">
        <v>0</v>
      </c>
      <c r="H406">
        <v>0</v>
      </c>
      <c r="I406">
        <v>0</v>
      </c>
      <c r="J406">
        <v>0</v>
      </c>
      <c r="K406">
        <v>0</v>
      </c>
      <c r="L406">
        <v>0</v>
      </c>
      <c r="M406">
        <v>0</v>
      </c>
      <c r="N406">
        <v>0</v>
      </c>
      <c r="O406">
        <v>0</v>
      </c>
      <c r="P406">
        <v>0</v>
      </c>
      <c r="Q406">
        <v>0</v>
      </c>
      <c r="R406">
        <v>0</v>
      </c>
      <c r="S406">
        <v>0</v>
      </c>
      <c r="T406">
        <v>0</v>
      </c>
      <c r="U406">
        <v>0</v>
      </c>
      <c r="V406">
        <v>0</v>
      </c>
      <c r="W406">
        <v>0</v>
      </c>
      <c r="X406">
        <v>0</v>
      </c>
      <c r="Y406">
        <v>0</v>
      </c>
      <c r="Z406">
        <v>0</v>
      </c>
      <c r="AA406">
        <v>0</v>
      </c>
      <c r="AB406">
        <v>0</v>
      </c>
      <c r="AC406">
        <v>0</v>
      </c>
      <c r="AD406">
        <v>0</v>
      </c>
      <c r="AE406">
        <v>0</v>
      </c>
      <c r="AF406">
        <v>0</v>
      </c>
      <c r="AG406">
        <v>0</v>
      </c>
      <c r="AH406">
        <v>0</v>
      </c>
      <c r="AI406">
        <v>0</v>
      </c>
      <c r="AJ406">
        <v>0</v>
      </c>
      <c r="AK406">
        <v>0</v>
      </c>
      <c r="AL406">
        <v>0</v>
      </c>
      <c r="AM406">
        <v>0</v>
      </c>
      <c r="AN406">
        <v>0</v>
      </c>
      <c r="AO406">
        <v>0</v>
      </c>
      <c r="AP406">
        <v>0</v>
      </c>
      <c r="AQ406">
        <v>0</v>
      </c>
      <c r="AR406">
        <v>0</v>
      </c>
      <c r="AS406">
        <v>0</v>
      </c>
      <c r="AT406">
        <v>0</v>
      </c>
      <c r="AU406">
        <v>0</v>
      </c>
      <c r="AV406">
        <v>0</v>
      </c>
      <c r="AW406">
        <v>0</v>
      </c>
      <c r="AX406">
        <v>0</v>
      </c>
      <c r="AY406">
        <v>0</v>
      </c>
      <c r="AZ406">
        <v>0</v>
      </c>
      <c r="BA406">
        <v>0</v>
      </c>
      <c r="BB406">
        <v>0</v>
      </c>
      <c r="BC406">
        <v>0</v>
      </c>
      <c r="BD406">
        <v>0</v>
      </c>
      <c r="BE406">
        <v>0</v>
      </c>
      <c r="BF406">
        <v>0</v>
      </c>
      <c r="BG406">
        <v>0</v>
      </c>
      <c r="BH406">
        <v>0</v>
      </c>
      <c r="BI406">
        <v>0</v>
      </c>
      <c r="BJ406">
        <v>0</v>
      </c>
      <c r="BK406">
        <v>0</v>
      </c>
      <c r="BL406">
        <v>0</v>
      </c>
      <c r="BM406">
        <v>0</v>
      </c>
      <c r="BN406">
        <v>0</v>
      </c>
      <c r="BO406">
        <v>0</v>
      </c>
      <c r="BP406">
        <v>0</v>
      </c>
      <c r="BQ406">
        <v>0</v>
      </c>
      <c r="BR406">
        <v>0</v>
      </c>
      <c r="BS406">
        <v>0</v>
      </c>
      <c r="BT406">
        <v>0</v>
      </c>
      <c r="BU406">
        <v>0</v>
      </c>
      <c r="BV406">
        <v>0</v>
      </c>
      <c r="BW406">
        <v>0</v>
      </c>
      <c r="BX406">
        <v>0</v>
      </c>
      <c r="BY406">
        <v>0</v>
      </c>
      <c r="BZ406">
        <v>0</v>
      </c>
      <c r="CA406">
        <v>0</v>
      </c>
      <c r="CB406">
        <v>0</v>
      </c>
    </row>
    <row r="407" spans="1:80" x14ac:dyDescent="0.2">
      <c r="A407">
        <v>0</v>
      </c>
      <c r="B407">
        <v>0</v>
      </c>
      <c r="C407">
        <v>0</v>
      </c>
      <c r="D407">
        <v>0</v>
      </c>
      <c r="E407">
        <v>0</v>
      </c>
      <c r="F407">
        <v>0</v>
      </c>
      <c r="G407">
        <v>0</v>
      </c>
      <c r="H407">
        <v>0</v>
      </c>
      <c r="I407">
        <v>0</v>
      </c>
      <c r="J407">
        <v>0</v>
      </c>
      <c r="K407">
        <v>0</v>
      </c>
      <c r="L407">
        <v>0</v>
      </c>
      <c r="M407">
        <v>0</v>
      </c>
      <c r="N407">
        <v>0</v>
      </c>
      <c r="O407">
        <v>0</v>
      </c>
      <c r="P407">
        <v>0</v>
      </c>
      <c r="Q407">
        <v>0</v>
      </c>
      <c r="R407">
        <v>0</v>
      </c>
      <c r="S407">
        <v>0</v>
      </c>
      <c r="T407">
        <v>0</v>
      </c>
      <c r="U407">
        <v>0</v>
      </c>
      <c r="V407">
        <v>0</v>
      </c>
      <c r="W407">
        <v>0</v>
      </c>
      <c r="X407">
        <v>0</v>
      </c>
      <c r="Y407">
        <v>0</v>
      </c>
      <c r="Z407">
        <v>0</v>
      </c>
      <c r="AA407">
        <v>0</v>
      </c>
      <c r="AB407">
        <v>0</v>
      </c>
      <c r="AC407">
        <v>0</v>
      </c>
      <c r="AD407">
        <v>0</v>
      </c>
      <c r="AE407">
        <v>0</v>
      </c>
      <c r="AF407">
        <v>0</v>
      </c>
      <c r="AG407">
        <v>0</v>
      </c>
      <c r="AH407">
        <v>0</v>
      </c>
      <c r="AI407">
        <v>0</v>
      </c>
      <c r="AJ407">
        <v>0</v>
      </c>
      <c r="AK407">
        <v>0</v>
      </c>
      <c r="AL407">
        <v>0</v>
      </c>
      <c r="AM407">
        <v>0</v>
      </c>
      <c r="AN407">
        <v>0</v>
      </c>
      <c r="AO407">
        <v>0</v>
      </c>
      <c r="AP407">
        <v>0</v>
      </c>
      <c r="AQ407">
        <v>0</v>
      </c>
      <c r="AR407">
        <v>0</v>
      </c>
      <c r="AS407">
        <v>0</v>
      </c>
      <c r="AT407">
        <v>0</v>
      </c>
      <c r="AU407">
        <v>0</v>
      </c>
      <c r="AV407">
        <v>0</v>
      </c>
      <c r="AW407">
        <v>0</v>
      </c>
      <c r="AX407">
        <v>0</v>
      </c>
      <c r="AY407">
        <v>0</v>
      </c>
      <c r="AZ407">
        <v>0</v>
      </c>
      <c r="BA407">
        <v>0</v>
      </c>
      <c r="BB407">
        <v>0</v>
      </c>
      <c r="BC407">
        <v>0</v>
      </c>
      <c r="BD407">
        <v>0</v>
      </c>
      <c r="BE407">
        <v>0</v>
      </c>
      <c r="BF407">
        <v>0</v>
      </c>
      <c r="BG407">
        <v>0</v>
      </c>
      <c r="BH407">
        <v>0</v>
      </c>
      <c r="BI407">
        <v>0</v>
      </c>
      <c r="BJ407">
        <v>0</v>
      </c>
      <c r="BK407">
        <v>0</v>
      </c>
      <c r="BL407">
        <v>0</v>
      </c>
      <c r="BM407">
        <v>0</v>
      </c>
      <c r="BN407">
        <v>0</v>
      </c>
      <c r="BO407">
        <v>0</v>
      </c>
      <c r="BP407">
        <v>0</v>
      </c>
      <c r="BQ407">
        <v>0</v>
      </c>
      <c r="BR407">
        <v>0</v>
      </c>
      <c r="BS407">
        <v>0</v>
      </c>
      <c r="BT407">
        <v>0</v>
      </c>
      <c r="BU407">
        <v>0</v>
      </c>
      <c r="BV407">
        <v>0</v>
      </c>
      <c r="BW407">
        <v>0</v>
      </c>
      <c r="BX407">
        <v>0</v>
      </c>
      <c r="BY407">
        <v>0</v>
      </c>
      <c r="BZ407">
        <v>0</v>
      </c>
      <c r="CA407">
        <v>0</v>
      </c>
      <c r="CB407">
        <v>0</v>
      </c>
    </row>
    <row r="408" spans="1:80" x14ac:dyDescent="0.2">
      <c r="A408">
        <v>0</v>
      </c>
      <c r="B408">
        <v>0</v>
      </c>
      <c r="C408">
        <v>0</v>
      </c>
      <c r="D408">
        <v>0</v>
      </c>
      <c r="E408">
        <v>0</v>
      </c>
      <c r="F408">
        <v>0</v>
      </c>
      <c r="G408">
        <v>0</v>
      </c>
      <c r="H408">
        <v>0</v>
      </c>
      <c r="I408">
        <v>0</v>
      </c>
      <c r="J408">
        <v>0</v>
      </c>
      <c r="K408">
        <v>0</v>
      </c>
      <c r="L408">
        <v>0</v>
      </c>
      <c r="M408">
        <v>0</v>
      </c>
      <c r="N408">
        <v>0</v>
      </c>
      <c r="O408">
        <v>0</v>
      </c>
      <c r="P408">
        <v>0</v>
      </c>
      <c r="Q408">
        <v>0</v>
      </c>
      <c r="R408">
        <v>0</v>
      </c>
      <c r="S408">
        <v>0</v>
      </c>
      <c r="T408">
        <v>0</v>
      </c>
      <c r="U408">
        <v>0</v>
      </c>
      <c r="V408">
        <v>0</v>
      </c>
      <c r="W408">
        <v>0</v>
      </c>
      <c r="X408">
        <v>0</v>
      </c>
      <c r="Y408">
        <v>0</v>
      </c>
      <c r="Z408">
        <v>0</v>
      </c>
      <c r="AA408">
        <v>0</v>
      </c>
      <c r="AB408">
        <v>0</v>
      </c>
      <c r="AC408">
        <v>0</v>
      </c>
      <c r="AD408">
        <v>0</v>
      </c>
      <c r="AE408">
        <v>0</v>
      </c>
      <c r="AF408">
        <v>0</v>
      </c>
      <c r="AG408">
        <v>0</v>
      </c>
      <c r="AH408">
        <v>0</v>
      </c>
      <c r="AI408">
        <v>0</v>
      </c>
      <c r="AJ408">
        <v>0</v>
      </c>
      <c r="AK408">
        <v>0</v>
      </c>
      <c r="AL408">
        <v>0</v>
      </c>
      <c r="AM408">
        <v>0</v>
      </c>
      <c r="AN408">
        <v>0</v>
      </c>
      <c r="AO408">
        <v>0</v>
      </c>
      <c r="AP408">
        <v>0</v>
      </c>
      <c r="AQ408">
        <v>0</v>
      </c>
      <c r="AR408">
        <v>0</v>
      </c>
      <c r="AS408">
        <v>0</v>
      </c>
      <c r="AT408">
        <v>0</v>
      </c>
      <c r="AU408">
        <v>0</v>
      </c>
      <c r="AV408">
        <v>0</v>
      </c>
      <c r="AW408">
        <v>0</v>
      </c>
      <c r="AX408">
        <v>0</v>
      </c>
      <c r="AY408">
        <v>0</v>
      </c>
      <c r="AZ408">
        <v>0</v>
      </c>
      <c r="BA408">
        <v>0</v>
      </c>
      <c r="BB408">
        <v>0</v>
      </c>
      <c r="BC408">
        <v>0</v>
      </c>
      <c r="BD408">
        <v>0</v>
      </c>
      <c r="BE408">
        <v>0</v>
      </c>
      <c r="BF408">
        <v>0</v>
      </c>
      <c r="BG408">
        <v>0</v>
      </c>
      <c r="BH408">
        <v>0</v>
      </c>
      <c r="BI408">
        <v>0</v>
      </c>
      <c r="BJ408">
        <v>0</v>
      </c>
      <c r="BK408">
        <v>0</v>
      </c>
      <c r="BL408">
        <v>0</v>
      </c>
      <c r="BM408">
        <v>0</v>
      </c>
      <c r="BN408">
        <v>0</v>
      </c>
      <c r="BO408">
        <v>0</v>
      </c>
      <c r="BP408">
        <v>0</v>
      </c>
      <c r="BQ408">
        <v>0</v>
      </c>
      <c r="BR408">
        <v>0</v>
      </c>
      <c r="BS408">
        <v>0</v>
      </c>
      <c r="BT408">
        <v>0</v>
      </c>
      <c r="BU408">
        <v>0</v>
      </c>
      <c r="BV408">
        <v>0</v>
      </c>
      <c r="BW408">
        <v>0</v>
      </c>
      <c r="BX408">
        <v>0</v>
      </c>
      <c r="BY408">
        <v>0</v>
      </c>
      <c r="BZ408">
        <v>0</v>
      </c>
      <c r="CA408">
        <v>0</v>
      </c>
      <c r="CB408">
        <v>0</v>
      </c>
    </row>
    <row r="409" spans="1:80" x14ac:dyDescent="0.2">
      <c r="A409">
        <v>0</v>
      </c>
      <c r="B409">
        <v>0</v>
      </c>
      <c r="C409">
        <v>0</v>
      </c>
      <c r="D409">
        <v>0</v>
      </c>
      <c r="E409">
        <v>0</v>
      </c>
      <c r="F409">
        <v>0</v>
      </c>
      <c r="G409">
        <v>0</v>
      </c>
      <c r="H409">
        <v>0</v>
      </c>
      <c r="I409">
        <v>0</v>
      </c>
      <c r="J409">
        <v>0</v>
      </c>
      <c r="K409">
        <v>0</v>
      </c>
      <c r="L409">
        <v>0</v>
      </c>
      <c r="M409">
        <v>0</v>
      </c>
      <c r="N409">
        <v>0</v>
      </c>
      <c r="O409">
        <v>0</v>
      </c>
      <c r="P409">
        <v>0</v>
      </c>
      <c r="Q409">
        <v>0</v>
      </c>
      <c r="R409">
        <v>0</v>
      </c>
      <c r="S409">
        <v>0</v>
      </c>
      <c r="T409">
        <v>0</v>
      </c>
      <c r="U409">
        <v>0</v>
      </c>
      <c r="V409">
        <v>0</v>
      </c>
      <c r="W409">
        <v>0</v>
      </c>
      <c r="X409">
        <v>0</v>
      </c>
      <c r="Y409">
        <v>0</v>
      </c>
      <c r="Z409">
        <v>0</v>
      </c>
      <c r="AA409">
        <v>0</v>
      </c>
      <c r="AB409">
        <v>0</v>
      </c>
      <c r="AC409">
        <v>0</v>
      </c>
      <c r="AD409">
        <v>0</v>
      </c>
      <c r="AE409">
        <v>0</v>
      </c>
      <c r="AF409">
        <v>0</v>
      </c>
      <c r="AG409">
        <v>0</v>
      </c>
      <c r="AH409">
        <v>0</v>
      </c>
      <c r="AI409">
        <v>0</v>
      </c>
      <c r="AJ409">
        <v>0</v>
      </c>
      <c r="AK409">
        <v>0</v>
      </c>
      <c r="AL409">
        <v>0</v>
      </c>
      <c r="AM409">
        <v>0</v>
      </c>
      <c r="AN409">
        <v>0</v>
      </c>
      <c r="AO409">
        <v>0</v>
      </c>
      <c r="AP409">
        <v>0</v>
      </c>
      <c r="AQ409">
        <v>0</v>
      </c>
      <c r="AR409">
        <v>0</v>
      </c>
      <c r="AS409">
        <v>0</v>
      </c>
      <c r="AT409">
        <v>0</v>
      </c>
      <c r="AU409">
        <v>0</v>
      </c>
      <c r="AV409">
        <v>0</v>
      </c>
      <c r="AW409">
        <v>0</v>
      </c>
      <c r="AX409">
        <v>0</v>
      </c>
      <c r="AY409">
        <v>0</v>
      </c>
      <c r="AZ409">
        <v>0</v>
      </c>
      <c r="BA409">
        <v>0</v>
      </c>
      <c r="BB409">
        <v>0</v>
      </c>
      <c r="BC409">
        <v>0</v>
      </c>
      <c r="BD409">
        <v>0</v>
      </c>
      <c r="BE409">
        <v>0</v>
      </c>
      <c r="BF409">
        <v>0</v>
      </c>
      <c r="BG409">
        <v>0</v>
      </c>
      <c r="BH409">
        <v>0</v>
      </c>
      <c r="BI409">
        <v>0</v>
      </c>
      <c r="BJ409">
        <v>0</v>
      </c>
      <c r="BK409">
        <v>0</v>
      </c>
      <c r="BL409">
        <v>0</v>
      </c>
      <c r="BM409">
        <v>0</v>
      </c>
      <c r="BN409">
        <v>0</v>
      </c>
      <c r="BO409">
        <v>0</v>
      </c>
      <c r="BP409">
        <v>0</v>
      </c>
      <c r="BQ409">
        <v>0</v>
      </c>
      <c r="BR409">
        <v>0</v>
      </c>
      <c r="BS409">
        <v>0</v>
      </c>
      <c r="BT409">
        <v>0</v>
      </c>
      <c r="BU409">
        <v>0</v>
      </c>
      <c r="BV409">
        <v>0</v>
      </c>
      <c r="BW409">
        <v>0</v>
      </c>
      <c r="BX409">
        <v>0</v>
      </c>
      <c r="BY409">
        <v>0</v>
      </c>
      <c r="BZ409">
        <v>0</v>
      </c>
      <c r="CA409">
        <v>0</v>
      </c>
      <c r="CB409">
        <v>0</v>
      </c>
    </row>
    <row r="410" spans="1:80" x14ac:dyDescent="0.2">
      <c r="A410">
        <v>0</v>
      </c>
      <c r="B410">
        <v>0</v>
      </c>
      <c r="C410">
        <v>0</v>
      </c>
      <c r="D410">
        <v>0</v>
      </c>
      <c r="E410">
        <v>0</v>
      </c>
      <c r="F410">
        <v>0</v>
      </c>
      <c r="G410">
        <v>0</v>
      </c>
      <c r="H410">
        <v>0</v>
      </c>
      <c r="I410">
        <v>0</v>
      </c>
      <c r="J410">
        <v>0</v>
      </c>
      <c r="K410">
        <v>0</v>
      </c>
      <c r="L410">
        <v>0</v>
      </c>
      <c r="M410">
        <v>0</v>
      </c>
      <c r="N410">
        <v>0</v>
      </c>
      <c r="O410">
        <v>0</v>
      </c>
      <c r="P410">
        <v>0</v>
      </c>
      <c r="Q410">
        <v>0</v>
      </c>
      <c r="R410">
        <v>0</v>
      </c>
      <c r="S410">
        <v>0</v>
      </c>
      <c r="T410">
        <v>0</v>
      </c>
      <c r="U410">
        <v>0</v>
      </c>
      <c r="V410">
        <v>0</v>
      </c>
      <c r="W410">
        <v>0</v>
      </c>
      <c r="X410">
        <v>0</v>
      </c>
      <c r="Y410">
        <v>0</v>
      </c>
      <c r="Z410">
        <v>0</v>
      </c>
      <c r="AA410">
        <v>0</v>
      </c>
      <c r="AB410">
        <v>0</v>
      </c>
      <c r="AC410">
        <v>0</v>
      </c>
      <c r="AD410">
        <v>0</v>
      </c>
      <c r="AE410">
        <v>0</v>
      </c>
      <c r="AF410">
        <v>0</v>
      </c>
      <c r="AG410">
        <v>0</v>
      </c>
      <c r="AH410">
        <v>0</v>
      </c>
      <c r="AI410">
        <v>0</v>
      </c>
      <c r="AJ410">
        <v>0</v>
      </c>
      <c r="AK410">
        <v>0</v>
      </c>
      <c r="AL410">
        <v>0</v>
      </c>
      <c r="AM410">
        <v>0</v>
      </c>
      <c r="AN410">
        <v>0</v>
      </c>
      <c r="AO410">
        <v>0</v>
      </c>
      <c r="AP410">
        <v>0</v>
      </c>
      <c r="AQ410">
        <v>0</v>
      </c>
      <c r="AR410">
        <v>0</v>
      </c>
      <c r="AS410">
        <v>0</v>
      </c>
      <c r="AT410">
        <v>0</v>
      </c>
      <c r="AU410">
        <v>0</v>
      </c>
      <c r="AV410">
        <v>0</v>
      </c>
      <c r="AW410">
        <v>0</v>
      </c>
      <c r="AX410">
        <v>0</v>
      </c>
      <c r="AY410">
        <v>0</v>
      </c>
      <c r="AZ410">
        <v>0</v>
      </c>
      <c r="BA410">
        <v>0</v>
      </c>
      <c r="BB410">
        <v>0</v>
      </c>
      <c r="BC410">
        <v>0</v>
      </c>
      <c r="BD410">
        <v>0</v>
      </c>
      <c r="BE410">
        <v>0</v>
      </c>
      <c r="BF410">
        <v>0</v>
      </c>
      <c r="BG410">
        <v>0</v>
      </c>
      <c r="BH410">
        <v>0</v>
      </c>
      <c r="BI410">
        <v>0</v>
      </c>
      <c r="BJ410">
        <v>0</v>
      </c>
      <c r="BK410">
        <v>0</v>
      </c>
      <c r="BL410">
        <v>0</v>
      </c>
      <c r="BM410">
        <v>0</v>
      </c>
      <c r="BN410">
        <v>0</v>
      </c>
      <c r="BO410">
        <v>0</v>
      </c>
      <c r="BP410">
        <v>0</v>
      </c>
      <c r="BQ410">
        <v>0</v>
      </c>
      <c r="BR410">
        <v>0</v>
      </c>
      <c r="BS410">
        <v>0</v>
      </c>
      <c r="BT410">
        <v>0</v>
      </c>
      <c r="BU410">
        <v>0</v>
      </c>
      <c r="BV410">
        <v>0</v>
      </c>
      <c r="BW410">
        <v>0</v>
      </c>
      <c r="BX410">
        <v>0</v>
      </c>
      <c r="BY410">
        <v>0</v>
      </c>
      <c r="BZ410">
        <v>0</v>
      </c>
      <c r="CA410">
        <v>0</v>
      </c>
      <c r="CB410">
        <v>0</v>
      </c>
    </row>
    <row r="411" spans="1:80" x14ac:dyDescent="0.2">
      <c r="A411">
        <v>0</v>
      </c>
      <c r="B411">
        <v>0</v>
      </c>
      <c r="C411">
        <v>0</v>
      </c>
      <c r="D411">
        <v>0</v>
      </c>
      <c r="E411">
        <v>0</v>
      </c>
      <c r="F411">
        <v>0</v>
      </c>
      <c r="G411">
        <v>0</v>
      </c>
      <c r="H411">
        <v>0</v>
      </c>
      <c r="I411">
        <v>0</v>
      </c>
      <c r="J411">
        <v>0</v>
      </c>
      <c r="K411">
        <v>0</v>
      </c>
      <c r="L411">
        <v>0</v>
      </c>
      <c r="M411">
        <v>0</v>
      </c>
      <c r="N411">
        <v>0</v>
      </c>
      <c r="O411">
        <v>0</v>
      </c>
      <c r="P411">
        <v>0</v>
      </c>
      <c r="Q411">
        <v>0</v>
      </c>
      <c r="R411">
        <v>0</v>
      </c>
      <c r="S411">
        <v>0</v>
      </c>
      <c r="T411">
        <v>0</v>
      </c>
      <c r="U411">
        <v>0</v>
      </c>
      <c r="V411">
        <v>0</v>
      </c>
      <c r="W411">
        <v>0</v>
      </c>
      <c r="X411">
        <v>0</v>
      </c>
      <c r="Y411">
        <v>0</v>
      </c>
      <c r="Z411">
        <v>0</v>
      </c>
      <c r="AA411">
        <v>0</v>
      </c>
      <c r="AB411">
        <v>0</v>
      </c>
      <c r="AC411">
        <v>0</v>
      </c>
      <c r="AD411">
        <v>0</v>
      </c>
      <c r="AE411">
        <v>0</v>
      </c>
      <c r="AF411">
        <v>0</v>
      </c>
      <c r="AG411">
        <v>0</v>
      </c>
      <c r="AH411">
        <v>0</v>
      </c>
      <c r="AI411">
        <v>0</v>
      </c>
      <c r="AJ411">
        <v>0</v>
      </c>
      <c r="AK411">
        <v>0</v>
      </c>
      <c r="AL411">
        <v>0</v>
      </c>
      <c r="AM411">
        <v>0</v>
      </c>
      <c r="AN411">
        <v>0</v>
      </c>
      <c r="AO411">
        <v>0</v>
      </c>
      <c r="AP411">
        <v>0</v>
      </c>
      <c r="AQ411">
        <v>0</v>
      </c>
      <c r="AR411">
        <v>0</v>
      </c>
      <c r="AS411">
        <v>0</v>
      </c>
      <c r="AT411">
        <v>0</v>
      </c>
      <c r="AU411">
        <v>0</v>
      </c>
      <c r="AV411">
        <v>0</v>
      </c>
      <c r="AW411">
        <v>0</v>
      </c>
      <c r="AX411">
        <v>0</v>
      </c>
      <c r="AY411">
        <v>0</v>
      </c>
      <c r="AZ411">
        <v>0</v>
      </c>
      <c r="BA411">
        <v>0</v>
      </c>
      <c r="BB411">
        <v>0</v>
      </c>
      <c r="BC411">
        <v>0</v>
      </c>
      <c r="BD411">
        <v>0</v>
      </c>
      <c r="BE411">
        <v>0</v>
      </c>
      <c r="BF411">
        <v>0</v>
      </c>
      <c r="BG411">
        <v>0</v>
      </c>
      <c r="BH411">
        <v>0</v>
      </c>
      <c r="BI411">
        <v>0</v>
      </c>
      <c r="BJ411">
        <v>0</v>
      </c>
      <c r="BK411">
        <v>0</v>
      </c>
      <c r="BL411">
        <v>0</v>
      </c>
      <c r="BM411">
        <v>0</v>
      </c>
      <c r="BN411">
        <v>0</v>
      </c>
      <c r="BO411">
        <v>0</v>
      </c>
      <c r="BP411">
        <v>0</v>
      </c>
      <c r="BQ411">
        <v>0</v>
      </c>
      <c r="BR411">
        <v>0</v>
      </c>
      <c r="BS411">
        <v>0</v>
      </c>
      <c r="BT411">
        <v>0</v>
      </c>
      <c r="BU411">
        <v>0</v>
      </c>
      <c r="BV411">
        <v>0</v>
      </c>
      <c r="BW411">
        <v>0</v>
      </c>
      <c r="BX411">
        <v>0</v>
      </c>
      <c r="BY411">
        <v>0</v>
      </c>
      <c r="BZ411">
        <v>0</v>
      </c>
      <c r="CA411">
        <v>0</v>
      </c>
      <c r="CB411">
        <v>0</v>
      </c>
    </row>
    <row r="412" spans="1:80" x14ac:dyDescent="0.2">
      <c r="A412">
        <v>0</v>
      </c>
      <c r="B412">
        <v>0</v>
      </c>
      <c r="C412">
        <v>0</v>
      </c>
      <c r="D412">
        <v>0</v>
      </c>
      <c r="E412">
        <v>0</v>
      </c>
      <c r="F412">
        <v>0</v>
      </c>
      <c r="G412">
        <v>0</v>
      </c>
      <c r="H412">
        <v>0</v>
      </c>
      <c r="I412">
        <v>0</v>
      </c>
      <c r="J412">
        <v>0</v>
      </c>
      <c r="K412">
        <v>0</v>
      </c>
      <c r="L412">
        <v>0</v>
      </c>
      <c r="M412">
        <v>0</v>
      </c>
      <c r="N412">
        <v>0</v>
      </c>
      <c r="O412">
        <v>0</v>
      </c>
      <c r="P412">
        <v>0</v>
      </c>
      <c r="Q412">
        <v>0</v>
      </c>
      <c r="R412">
        <v>0</v>
      </c>
      <c r="S412">
        <v>0</v>
      </c>
      <c r="T412">
        <v>0</v>
      </c>
      <c r="U412">
        <v>0</v>
      </c>
      <c r="V412">
        <v>0</v>
      </c>
      <c r="W412">
        <v>0</v>
      </c>
      <c r="X412">
        <v>0</v>
      </c>
      <c r="Y412">
        <v>0</v>
      </c>
      <c r="Z412">
        <v>0</v>
      </c>
      <c r="AA412">
        <v>0</v>
      </c>
      <c r="AB412">
        <v>0</v>
      </c>
      <c r="AC412">
        <v>0</v>
      </c>
      <c r="AD412">
        <v>0</v>
      </c>
      <c r="AE412">
        <v>0</v>
      </c>
      <c r="AF412">
        <v>0</v>
      </c>
      <c r="AG412">
        <v>0</v>
      </c>
      <c r="AH412">
        <v>0</v>
      </c>
      <c r="AI412">
        <v>0</v>
      </c>
      <c r="AJ412">
        <v>0</v>
      </c>
      <c r="AK412">
        <v>0</v>
      </c>
      <c r="AL412">
        <v>0</v>
      </c>
      <c r="AM412">
        <v>0</v>
      </c>
      <c r="AN412">
        <v>0</v>
      </c>
      <c r="AO412">
        <v>0</v>
      </c>
      <c r="AP412">
        <v>0</v>
      </c>
      <c r="AQ412">
        <v>0</v>
      </c>
      <c r="AR412">
        <v>0</v>
      </c>
      <c r="AS412">
        <v>0</v>
      </c>
      <c r="AT412">
        <v>0</v>
      </c>
      <c r="AU412">
        <v>0</v>
      </c>
      <c r="AV412">
        <v>0</v>
      </c>
      <c r="AW412">
        <v>0</v>
      </c>
      <c r="AX412">
        <v>0</v>
      </c>
      <c r="AY412">
        <v>0</v>
      </c>
      <c r="AZ412">
        <v>0</v>
      </c>
      <c r="BA412">
        <v>0</v>
      </c>
      <c r="BB412">
        <v>0</v>
      </c>
      <c r="BC412">
        <v>0</v>
      </c>
      <c r="BD412">
        <v>0</v>
      </c>
      <c r="BE412">
        <v>0</v>
      </c>
      <c r="BF412">
        <v>0</v>
      </c>
      <c r="BG412">
        <v>0</v>
      </c>
      <c r="BH412">
        <v>0</v>
      </c>
      <c r="BI412">
        <v>0</v>
      </c>
      <c r="BJ412">
        <v>0</v>
      </c>
      <c r="BK412">
        <v>0</v>
      </c>
      <c r="BL412">
        <v>0</v>
      </c>
      <c r="BM412">
        <v>0</v>
      </c>
      <c r="BN412">
        <v>0</v>
      </c>
      <c r="BO412">
        <v>0</v>
      </c>
      <c r="BP412">
        <v>0</v>
      </c>
      <c r="BQ412">
        <v>0</v>
      </c>
      <c r="BR412">
        <v>0</v>
      </c>
      <c r="BS412">
        <v>0</v>
      </c>
      <c r="BT412">
        <v>0</v>
      </c>
      <c r="BU412">
        <v>0</v>
      </c>
      <c r="BV412">
        <v>0</v>
      </c>
      <c r="BW412">
        <v>0</v>
      </c>
      <c r="BX412">
        <v>0</v>
      </c>
      <c r="BY412">
        <v>0</v>
      </c>
      <c r="BZ412">
        <v>0</v>
      </c>
      <c r="CA412">
        <v>0</v>
      </c>
      <c r="CB412">
        <v>0</v>
      </c>
    </row>
    <row r="413" spans="1:80" x14ac:dyDescent="0.2">
      <c r="A413">
        <v>0</v>
      </c>
      <c r="B413">
        <v>0</v>
      </c>
      <c r="C413">
        <v>0</v>
      </c>
      <c r="D413">
        <v>0</v>
      </c>
      <c r="E413">
        <v>0</v>
      </c>
      <c r="F413">
        <v>0</v>
      </c>
      <c r="G413">
        <v>0</v>
      </c>
      <c r="H413">
        <v>0</v>
      </c>
      <c r="I413">
        <v>0</v>
      </c>
      <c r="J413">
        <v>0</v>
      </c>
      <c r="K413">
        <v>0</v>
      </c>
      <c r="L413">
        <v>0</v>
      </c>
      <c r="M413">
        <v>0</v>
      </c>
      <c r="N413">
        <v>0</v>
      </c>
      <c r="O413">
        <v>0</v>
      </c>
      <c r="P413">
        <v>0</v>
      </c>
      <c r="Q413">
        <v>0</v>
      </c>
      <c r="R413">
        <v>0</v>
      </c>
      <c r="S413">
        <v>0</v>
      </c>
      <c r="T413">
        <v>0</v>
      </c>
      <c r="U413">
        <v>0</v>
      </c>
      <c r="V413">
        <v>0</v>
      </c>
      <c r="W413">
        <v>0</v>
      </c>
      <c r="X413">
        <v>0</v>
      </c>
      <c r="Y413">
        <v>0</v>
      </c>
      <c r="Z413">
        <v>0</v>
      </c>
      <c r="AA413">
        <v>0</v>
      </c>
      <c r="AB413">
        <v>0</v>
      </c>
      <c r="AC413">
        <v>0</v>
      </c>
      <c r="AD413">
        <v>0</v>
      </c>
      <c r="AE413">
        <v>0</v>
      </c>
      <c r="AF413">
        <v>0</v>
      </c>
      <c r="AG413">
        <v>0</v>
      </c>
      <c r="AH413">
        <v>0</v>
      </c>
      <c r="AI413">
        <v>0</v>
      </c>
      <c r="AJ413">
        <v>0</v>
      </c>
      <c r="AK413">
        <v>0</v>
      </c>
      <c r="AL413">
        <v>0</v>
      </c>
      <c r="AM413">
        <v>0</v>
      </c>
      <c r="AN413">
        <v>0</v>
      </c>
      <c r="AO413">
        <v>0</v>
      </c>
      <c r="AP413">
        <v>0</v>
      </c>
      <c r="AQ413">
        <v>0</v>
      </c>
      <c r="AR413">
        <v>0</v>
      </c>
      <c r="AS413">
        <v>0</v>
      </c>
      <c r="AT413">
        <v>0</v>
      </c>
      <c r="AU413">
        <v>0</v>
      </c>
      <c r="AV413">
        <v>0</v>
      </c>
      <c r="AW413">
        <v>0</v>
      </c>
      <c r="AX413">
        <v>0</v>
      </c>
      <c r="AY413">
        <v>0</v>
      </c>
      <c r="AZ413">
        <v>0</v>
      </c>
      <c r="BA413">
        <v>0</v>
      </c>
      <c r="BB413">
        <v>0</v>
      </c>
      <c r="BC413">
        <v>0</v>
      </c>
      <c r="BD413">
        <v>0</v>
      </c>
      <c r="BE413">
        <v>0</v>
      </c>
      <c r="BF413">
        <v>0</v>
      </c>
      <c r="BG413">
        <v>0</v>
      </c>
      <c r="BH413">
        <v>0</v>
      </c>
      <c r="BI413">
        <v>0</v>
      </c>
      <c r="BJ413">
        <v>0</v>
      </c>
      <c r="BK413">
        <v>0</v>
      </c>
      <c r="BL413">
        <v>0</v>
      </c>
      <c r="BM413">
        <v>0</v>
      </c>
      <c r="BN413">
        <v>0</v>
      </c>
      <c r="BO413">
        <v>0</v>
      </c>
      <c r="BP413">
        <v>0</v>
      </c>
      <c r="BQ413">
        <v>0</v>
      </c>
      <c r="BR413">
        <v>0</v>
      </c>
      <c r="BS413">
        <v>0</v>
      </c>
      <c r="BT413">
        <v>0</v>
      </c>
      <c r="BU413">
        <v>0</v>
      </c>
      <c r="BV413">
        <v>0</v>
      </c>
      <c r="BW413">
        <v>0</v>
      </c>
      <c r="BX413">
        <v>0</v>
      </c>
      <c r="BY413">
        <v>0</v>
      </c>
      <c r="BZ413">
        <v>0</v>
      </c>
      <c r="CA413">
        <v>0</v>
      </c>
      <c r="CB413">
        <v>0</v>
      </c>
    </row>
    <row r="414" spans="1:80" x14ac:dyDescent="0.2">
      <c r="A414">
        <v>0</v>
      </c>
      <c r="B414">
        <v>0</v>
      </c>
      <c r="C414">
        <v>0</v>
      </c>
      <c r="D414">
        <v>0</v>
      </c>
      <c r="E414">
        <v>0</v>
      </c>
      <c r="F414">
        <v>0</v>
      </c>
      <c r="G414">
        <v>0</v>
      </c>
      <c r="H414">
        <v>0</v>
      </c>
      <c r="I414">
        <v>0</v>
      </c>
      <c r="J414">
        <v>0</v>
      </c>
      <c r="K414">
        <v>0</v>
      </c>
      <c r="L414">
        <v>0</v>
      </c>
      <c r="M414">
        <v>0</v>
      </c>
      <c r="N414">
        <v>0</v>
      </c>
      <c r="O414">
        <v>0</v>
      </c>
      <c r="P414">
        <v>0</v>
      </c>
      <c r="Q414">
        <v>0</v>
      </c>
      <c r="R414">
        <v>0</v>
      </c>
      <c r="S414">
        <v>0</v>
      </c>
      <c r="T414">
        <v>0</v>
      </c>
      <c r="U414">
        <v>0</v>
      </c>
      <c r="V414">
        <v>0</v>
      </c>
      <c r="W414">
        <v>0</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v>0</v>
      </c>
      <c r="AS414">
        <v>0</v>
      </c>
      <c r="AT414">
        <v>0</v>
      </c>
      <c r="AU414">
        <v>0</v>
      </c>
      <c r="AV414">
        <v>0</v>
      </c>
      <c r="AW414">
        <v>0</v>
      </c>
      <c r="AX414">
        <v>0</v>
      </c>
      <c r="AY414">
        <v>0</v>
      </c>
      <c r="AZ414">
        <v>0</v>
      </c>
      <c r="BA414">
        <v>0</v>
      </c>
      <c r="BB414">
        <v>0</v>
      </c>
      <c r="BC414">
        <v>0</v>
      </c>
      <c r="BD414">
        <v>0</v>
      </c>
      <c r="BE414">
        <v>0</v>
      </c>
      <c r="BF414">
        <v>0</v>
      </c>
      <c r="BG414">
        <v>0</v>
      </c>
      <c r="BH414">
        <v>0</v>
      </c>
      <c r="BI414">
        <v>0</v>
      </c>
      <c r="BJ414">
        <v>0</v>
      </c>
      <c r="BK414">
        <v>0</v>
      </c>
      <c r="BL414">
        <v>0</v>
      </c>
      <c r="BM414">
        <v>0</v>
      </c>
      <c r="BN414">
        <v>0</v>
      </c>
      <c r="BO414">
        <v>0</v>
      </c>
      <c r="BP414">
        <v>0</v>
      </c>
      <c r="BQ414">
        <v>0</v>
      </c>
      <c r="BR414">
        <v>0</v>
      </c>
      <c r="BS414">
        <v>0</v>
      </c>
      <c r="BT414">
        <v>0</v>
      </c>
      <c r="BU414">
        <v>0</v>
      </c>
      <c r="BV414">
        <v>0</v>
      </c>
      <c r="BW414">
        <v>0</v>
      </c>
      <c r="BX414">
        <v>0</v>
      </c>
      <c r="BY414">
        <v>0</v>
      </c>
      <c r="BZ414">
        <v>0</v>
      </c>
      <c r="CA414">
        <v>0</v>
      </c>
      <c r="CB414">
        <v>0</v>
      </c>
    </row>
    <row r="415" spans="1:80" x14ac:dyDescent="0.2">
      <c r="A415">
        <v>0</v>
      </c>
      <c r="B415">
        <v>0</v>
      </c>
      <c r="C415">
        <v>0</v>
      </c>
      <c r="D415">
        <v>0</v>
      </c>
      <c r="E415">
        <v>0</v>
      </c>
      <c r="F415">
        <v>0</v>
      </c>
      <c r="G415">
        <v>0</v>
      </c>
      <c r="H415">
        <v>0</v>
      </c>
      <c r="I415">
        <v>0</v>
      </c>
      <c r="J415">
        <v>0</v>
      </c>
      <c r="K415">
        <v>0</v>
      </c>
      <c r="L415">
        <v>0</v>
      </c>
      <c r="M415">
        <v>0</v>
      </c>
      <c r="N415">
        <v>0</v>
      </c>
      <c r="O415">
        <v>0</v>
      </c>
      <c r="P415">
        <v>0</v>
      </c>
      <c r="Q415">
        <v>0</v>
      </c>
      <c r="R415">
        <v>0</v>
      </c>
      <c r="S415">
        <v>0</v>
      </c>
      <c r="T415">
        <v>0</v>
      </c>
      <c r="U415">
        <v>0</v>
      </c>
      <c r="V415">
        <v>0</v>
      </c>
      <c r="W415">
        <v>0</v>
      </c>
      <c r="X415">
        <v>0</v>
      </c>
      <c r="Y415">
        <v>0</v>
      </c>
      <c r="Z415">
        <v>0</v>
      </c>
      <c r="AA415">
        <v>0</v>
      </c>
      <c r="AB415">
        <v>0</v>
      </c>
      <c r="AC415">
        <v>0</v>
      </c>
      <c r="AD415">
        <v>0</v>
      </c>
      <c r="AE415">
        <v>0</v>
      </c>
      <c r="AF415">
        <v>0</v>
      </c>
      <c r="AG415">
        <v>0</v>
      </c>
      <c r="AH415">
        <v>0</v>
      </c>
      <c r="AI415">
        <v>0</v>
      </c>
      <c r="AJ415">
        <v>0</v>
      </c>
      <c r="AK415">
        <v>0</v>
      </c>
      <c r="AL415">
        <v>0</v>
      </c>
      <c r="AM415">
        <v>0</v>
      </c>
      <c r="AN415">
        <v>0</v>
      </c>
      <c r="AO415">
        <v>0</v>
      </c>
      <c r="AP415">
        <v>0</v>
      </c>
      <c r="AQ415">
        <v>0</v>
      </c>
      <c r="AR415">
        <v>0</v>
      </c>
      <c r="AS415">
        <v>0</v>
      </c>
      <c r="AT415">
        <v>0</v>
      </c>
      <c r="AU415">
        <v>0</v>
      </c>
      <c r="AV415">
        <v>0</v>
      </c>
      <c r="AW415">
        <v>0</v>
      </c>
      <c r="AX415">
        <v>0</v>
      </c>
      <c r="AY415">
        <v>0</v>
      </c>
      <c r="AZ415">
        <v>0</v>
      </c>
      <c r="BA415">
        <v>0</v>
      </c>
      <c r="BB415">
        <v>0</v>
      </c>
      <c r="BC415">
        <v>0</v>
      </c>
      <c r="BD415">
        <v>0</v>
      </c>
      <c r="BE415">
        <v>0</v>
      </c>
      <c r="BF415">
        <v>0</v>
      </c>
      <c r="BG415">
        <v>0</v>
      </c>
      <c r="BH415">
        <v>0</v>
      </c>
      <c r="BI415">
        <v>0</v>
      </c>
      <c r="BJ415">
        <v>0</v>
      </c>
      <c r="BK415">
        <v>0</v>
      </c>
      <c r="BL415">
        <v>0</v>
      </c>
      <c r="BM415">
        <v>0</v>
      </c>
      <c r="BN415">
        <v>0</v>
      </c>
      <c r="BO415">
        <v>0</v>
      </c>
      <c r="BP415">
        <v>0</v>
      </c>
      <c r="BQ415">
        <v>0</v>
      </c>
      <c r="BR415">
        <v>0</v>
      </c>
      <c r="BS415">
        <v>0</v>
      </c>
      <c r="BT415">
        <v>0</v>
      </c>
      <c r="BU415">
        <v>0</v>
      </c>
      <c r="BV415">
        <v>0</v>
      </c>
      <c r="BW415">
        <v>0</v>
      </c>
      <c r="BX415">
        <v>0</v>
      </c>
      <c r="BY415">
        <v>0</v>
      </c>
      <c r="BZ415">
        <v>0</v>
      </c>
      <c r="CA415">
        <v>0</v>
      </c>
      <c r="CB415">
        <v>0</v>
      </c>
    </row>
    <row r="416" spans="1:80" x14ac:dyDescent="0.2">
      <c r="A416">
        <v>0</v>
      </c>
      <c r="B416">
        <v>0</v>
      </c>
      <c r="C416">
        <v>0</v>
      </c>
      <c r="D416">
        <v>0</v>
      </c>
      <c r="E416">
        <v>0</v>
      </c>
      <c r="F416">
        <v>0</v>
      </c>
      <c r="G416">
        <v>0</v>
      </c>
      <c r="H416">
        <v>0</v>
      </c>
      <c r="I416">
        <v>0</v>
      </c>
      <c r="J416">
        <v>0</v>
      </c>
      <c r="K416">
        <v>0</v>
      </c>
      <c r="L416">
        <v>0</v>
      </c>
      <c r="M416">
        <v>0</v>
      </c>
      <c r="N416">
        <v>0</v>
      </c>
      <c r="O416">
        <v>0</v>
      </c>
      <c r="P416">
        <v>0</v>
      </c>
      <c r="Q416">
        <v>0</v>
      </c>
      <c r="R416">
        <v>0</v>
      </c>
      <c r="S416">
        <v>0</v>
      </c>
      <c r="T416">
        <v>0</v>
      </c>
      <c r="U416">
        <v>0</v>
      </c>
      <c r="V416">
        <v>0</v>
      </c>
      <c r="W416">
        <v>0</v>
      </c>
      <c r="X416">
        <v>0</v>
      </c>
      <c r="Y416">
        <v>0</v>
      </c>
      <c r="Z416">
        <v>0</v>
      </c>
      <c r="AA416">
        <v>0</v>
      </c>
      <c r="AB416">
        <v>0</v>
      </c>
      <c r="AC416">
        <v>0</v>
      </c>
      <c r="AD416">
        <v>0</v>
      </c>
      <c r="AE416">
        <v>0</v>
      </c>
      <c r="AF416">
        <v>0</v>
      </c>
      <c r="AG416">
        <v>0</v>
      </c>
      <c r="AH416">
        <v>0</v>
      </c>
      <c r="AI416">
        <v>0</v>
      </c>
      <c r="AJ416">
        <v>0</v>
      </c>
      <c r="AK416">
        <v>0</v>
      </c>
      <c r="AL416">
        <v>0</v>
      </c>
      <c r="AM416">
        <v>0</v>
      </c>
      <c r="AN416">
        <v>0</v>
      </c>
      <c r="AO416">
        <v>0</v>
      </c>
      <c r="AP416">
        <v>0</v>
      </c>
      <c r="AQ416">
        <v>0</v>
      </c>
      <c r="AR416">
        <v>0</v>
      </c>
      <c r="AS416">
        <v>0</v>
      </c>
      <c r="AT416">
        <v>0</v>
      </c>
      <c r="AU416">
        <v>0</v>
      </c>
      <c r="AV416">
        <v>0</v>
      </c>
      <c r="AW416">
        <v>0</v>
      </c>
      <c r="AX416">
        <v>0</v>
      </c>
      <c r="AY416">
        <v>0</v>
      </c>
      <c r="AZ416">
        <v>0</v>
      </c>
      <c r="BA416">
        <v>0</v>
      </c>
      <c r="BB416">
        <v>0</v>
      </c>
      <c r="BC416">
        <v>0</v>
      </c>
      <c r="BD416">
        <v>0</v>
      </c>
      <c r="BE416">
        <v>0</v>
      </c>
      <c r="BF416">
        <v>0</v>
      </c>
      <c r="BG416">
        <v>0</v>
      </c>
      <c r="BH416">
        <v>0</v>
      </c>
      <c r="BI416">
        <v>0</v>
      </c>
      <c r="BJ416">
        <v>0</v>
      </c>
      <c r="BK416">
        <v>0</v>
      </c>
      <c r="BL416">
        <v>0</v>
      </c>
      <c r="BM416">
        <v>0</v>
      </c>
      <c r="BN416">
        <v>0</v>
      </c>
      <c r="BO416">
        <v>0</v>
      </c>
      <c r="BP416">
        <v>0</v>
      </c>
      <c r="BQ416">
        <v>0</v>
      </c>
      <c r="BR416">
        <v>0</v>
      </c>
      <c r="BS416">
        <v>0</v>
      </c>
      <c r="BT416">
        <v>0</v>
      </c>
      <c r="BU416">
        <v>0</v>
      </c>
      <c r="BV416">
        <v>0</v>
      </c>
      <c r="BW416">
        <v>0</v>
      </c>
      <c r="BX416">
        <v>0</v>
      </c>
      <c r="BY416">
        <v>0</v>
      </c>
      <c r="BZ416">
        <v>0</v>
      </c>
      <c r="CA416">
        <v>0</v>
      </c>
      <c r="CB416">
        <v>0</v>
      </c>
    </row>
    <row r="417" spans="1:80" x14ac:dyDescent="0.2">
      <c r="A417">
        <v>0</v>
      </c>
      <c r="B417">
        <v>0</v>
      </c>
      <c r="C417">
        <v>0</v>
      </c>
      <c r="D417">
        <v>0</v>
      </c>
      <c r="E417">
        <v>0</v>
      </c>
      <c r="F417">
        <v>0</v>
      </c>
      <c r="G417">
        <v>0</v>
      </c>
      <c r="H417">
        <v>0</v>
      </c>
      <c r="I417">
        <v>0</v>
      </c>
      <c r="J417">
        <v>0</v>
      </c>
      <c r="K417">
        <v>0</v>
      </c>
      <c r="L417">
        <v>0</v>
      </c>
      <c r="M417">
        <v>0</v>
      </c>
      <c r="N417">
        <v>0</v>
      </c>
      <c r="O417">
        <v>0</v>
      </c>
      <c r="P417">
        <v>0</v>
      </c>
      <c r="Q417">
        <v>0</v>
      </c>
      <c r="R417">
        <v>0</v>
      </c>
      <c r="S417">
        <v>0</v>
      </c>
      <c r="T417">
        <v>0</v>
      </c>
      <c r="U417">
        <v>0</v>
      </c>
      <c r="V417">
        <v>0</v>
      </c>
      <c r="W417">
        <v>0</v>
      </c>
      <c r="X417">
        <v>0</v>
      </c>
      <c r="Y417">
        <v>0</v>
      </c>
      <c r="Z417">
        <v>0</v>
      </c>
      <c r="AA417">
        <v>0</v>
      </c>
      <c r="AB417">
        <v>0</v>
      </c>
      <c r="AC417">
        <v>0</v>
      </c>
      <c r="AD417">
        <v>0</v>
      </c>
      <c r="AE417">
        <v>0</v>
      </c>
      <c r="AF417">
        <v>0</v>
      </c>
      <c r="AG417">
        <v>0</v>
      </c>
      <c r="AH417">
        <v>0</v>
      </c>
      <c r="AI417">
        <v>0</v>
      </c>
      <c r="AJ417">
        <v>0</v>
      </c>
      <c r="AK417">
        <v>0</v>
      </c>
      <c r="AL417">
        <v>0</v>
      </c>
      <c r="AM417">
        <v>0</v>
      </c>
      <c r="AN417">
        <v>0</v>
      </c>
      <c r="AO417">
        <v>0</v>
      </c>
      <c r="AP417">
        <v>0</v>
      </c>
      <c r="AQ417">
        <v>0</v>
      </c>
      <c r="AR417">
        <v>0</v>
      </c>
      <c r="AS417">
        <v>0</v>
      </c>
      <c r="AT417">
        <v>0</v>
      </c>
      <c r="AU417">
        <v>0</v>
      </c>
      <c r="AV417">
        <v>0</v>
      </c>
      <c r="AW417">
        <v>0</v>
      </c>
      <c r="AX417">
        <v>0</v>
      </c>
      <c r="AY417">
        <v>0</v>
      </c>
      <c r="AZ417">
        <v>0</v>
      </c>
      <c r="BA417">
        <v>0</v>
      </c>
      <c r="BB417">
        <v>0</v>
      </c>
      <c r="BC417">
        <v>0</v>
      </c>
      <c r="BD417">
        <v>0</v>
      </c>
      <c r="BE417">
        <v>0</v>
      </c>
      <c r="BF417">
        <v>0</v>
      </c>
      <c r="BG417">
        <v>0</v>
      </c>
      <c r="BH417">
        <v>0</v>
      </c>
      <c r="BI417">
        <v>0</v>
      </c>
      <c r="BJ417">
        <v>0</v>
      </c>
      <c r="BK417">
        <v>0</v>
      </c>
      <c r="BL417">
        <v>0</v>
      </c>
      <c r="BM417">
        <v>0</v>
      </c>
      <c r="BN417">
        <v>0</v>
      </c>
      <c r="BO417">
        <v>0</v>
      </c>
      <c r="BP417">
        <v>0</v>
      </c>
      <c r="BQ417">
        <v>0</v>
      </c>
      <c r="BR417">
        <v>0</v>
      </c>
      <c r="BS417">
        <v>0</v>
      </c>
      <c r="BT417">
        <v>0</v>
      </c>
      <c r="BU417">
        <v>0</v>
      </c>
      <c r="BV417">
        <v>0</v>
      </c>
      <c r="BW417">
        <v>0</v>
      </c>
      <c r="BX417">
        <v>0</v>
      </c>
      <c r="BY417">
        <v>0</v>
      </c>
      <c r="BZ417">
        <v>0</v>
      </c>
      <c r="CA417">
        <v>0</v>
      </c>
      <c r="CB417">
        <v>0</v>
      </c>
    </row>
    <row r="418" spans="1:80" x14ac:dyDescent="0.2">
      <c r="A418">
        <v>0</v>
      </c>
      <c r="B418">
        <v>0</v>
      </c>
      <c r="C418">
        <v>0</v>
      </c>
      <c r="D418">
        <v>0</v>
      </c>
      <c r="E418">
        <v>0</v>
      </c>
      <c r="F418">
        <v>0</v>
      </c>
      <c r="G418">
        <v>0</v>
      </c>
      <c r="H418">
        <v>0</v>
      </c>
      <c r="I418">
        <v>0</v>
      </c>
      <c r="J418">
        <v>0</v>
      </c>
      <c r="K418">
        <v>0</v>
      </c>
      <c r="L418">
        <v>0</v>
      </c>
      <c r="M418">
        <v>0</v>
      </c>
      <c r="N418">
        <v>0</v>
      </c>
      <c r="O418">
        <v>0</v>
      </c>
      <c r="P418">
        <v>0</v>
      </c>
      <c r="Q418">
        <v>0</v>
      </c>
      <c r="R418">
        <v>0</v>
      </c>
      <c r="S418">
        <v>0</v>
      </c>
      <c r="T418">
        <v>0</v>
      </c>
      <c r="U418">
        <v>0</v>
      </c>
      <c r="V418">
        <v>0</v>
      </c>
      <c r="W418">
        <v>0</v>
      </c>
      <c r="X418">
        <v>0</v>
      </c>
      <c r="Y418">
        <v>0</v>
      </c>
      <c r="Z418">
        <v>0</v>
      </c>
      <c r="AA418">
        <v>0</v>
      </c>
      <c r="AB418">
        <v>0</v>
      </c>
      <c r="AC418">
        <v>0</v>
      </c>
      <c r="AD418">
        <v>0</v>
      </c>
      <c r="AE418">
        <v>0</v>
      </c>
      <c r="AF418">
        <v>0</v>
      </c>
      <c r="AG418">
        <v>0</v>
      </c>
      <c r="AH418">
        <v>0</v>
      </c>
      <c r="AI418">
        <v>0</v>
      </c>
      <c r="AJ418">
        <v>0</v>
      </c>
      <c r="AK418">
        <v>0</v>
      </c>
      <c r="AL418">
        <v>0</v>
      </c>
      <c r="AM418">
        <v>0</v>
      </c>
      <c r="AN418">
        <v>0</v>
      </c>
      <c r="AO418">
        <v>0</v>
      </c>
      <c r="AP418">
        <v>0</v>
      </c>
      <c r="AQ418">
        <v>0</v>
      </c>
      <c r="AR418">
        <v>0</v>
      </c>
      <c r="AS418">
        <v>0</v>
      </c>
      <c r="AT418">
        <v>0</v>
      </c>
      <c r="AU418">
        <v>0</v>
      </c>
      <c r="AV418">
        <v>0</v>
      </c>
      <c r="AW418">
        <v>0</v>
      </c>
      <c r="AX418">
        <v>0</v>
      </c>
      <c r="AY418">
        <v>0</v>
      </c>
      <c r="AZ418">
        <v>0</v>
      </c>
      <c r="BA418">
        <v>0</v>
      </c>
      <c r="BB418">
        <v>0</v>
      </c>
      <c r="BC418">
        <v>0</v>
      </c>
      <c r="BD418">
        <v>0</v>
      </c>
      <c r="BE418">
        <v>0</v>
      </c>
      <c r="BF418">
        <v>0</v>
      </c>
      <c r="BG418">
        <v>0</v>
      </c>
      <c r="BH418">
        <v>0</v>
      </c>
      <c r="BI418">
        <v>0</v>
      </c>
      <c r="BJ418">
        <v>0</v>
      </c>
      <c r="BK418">
        <v>0</v>
      </c>
      <c r="BL418">
        <v>0</v>
      </c>
      <c r="BM418">
        <v>0</v>
      </c>
      <c r="BN418">
        <v>0</v>
      </c>
      <c r="BO418">
        <v>0</v>
      </c>
      <c r="BP418">
        <v>0</v>
      </c>
      <c r="BQ418">
        <v>0</v>
      </c>
      <c r="BR418">
        <v>0</v>
      </c>
      <c r="BS418">
        <v>0</v>
      </c>
      <c r="BT418">
        <v>0</v>
      </c>
      <c r="BU418">
        <v>0</v>
      </c>
      <c r="BV418">
        <v>0</v>
      </c>
      <c r="BW418">
        <v>0</v>
      </c>
      <c r="BX418">
        <v>0</v>
      </c>
      <c r="BY418">
        <v>0</v>
      </c>
      <c r="BZ418">
        <v>0</v>
      </c>
      <c r="CA418">
        <v>0</v>
      </c>
      <c r="CB418">
        <v>0</v>
      </c>
    </row>
    <row r="420" spans="1:80" x14ac:dyDescent="0.2">
      <c r="A420" s="40" t="s">
        <v>593</v>
      </c>
    </row>
    <row r="421" spans="1:80" x14ac:dyDescent="0.2">
      <c r="A421">
        <f t="array" ref="A421:CB500">MMULT('_motor'!$A$93:$CB$172,'_motor'!$A$93:$CB$172)</f>
      </c>
      <c r="B421">
        <v>0</v>
      </c>
      <c r="C421">
        <v>0</v>
      </c>
      <c r="D421">
        <v>0</v>
      </c>
      <c r="E421">
        <v>0</v>
      </c>
      <c r="F421">
        <v>0</v>
      </c>
      <c r="G421">
        <v>0</v>
      </c>
      <c r="H421">
        <v>0</v>
      </c>
      <c r="I421">
        <v>0</v>
      </c>
      <c r="J421">
        <v>0</v>
      </c>
      <c r="K421">
        <v>0</v>
      </c>
      <c r="L421">
        <v>0</v>
      </c>
      <c r="M421">
        <v>0</v>
      </c>
      <c r="N421">
        <v>0</v>
      </c>
      <c r="O421">
        <v>0</v>
      </c>
      <c r="P421">
        <v>0</v>
      </c>
      <c r="Q421">
        <v>0</v>
      </c>
      <c r="R421">
        <v>0</v>
      </c>
      <c r="S421">
        <v>0</v>
      </c>
      <c r="T421">
        <v>0</v>
      </c>
      <c r="U421">
        <v>0</v>
      </c>
      <c r="V421">
        <v>0</v>
      </c>
      <c r="W421">
        <v>0</v>
      </c>
      <c r="X421">
        <v>0</v>
      </c>
      <c r="Y421">
        <v>0</v>
      </c>
      <c r="Z421">
        <v>0</v>
      </c>
      <c r="AA421">
        <v>0</v>
      </c>
      <c r="AB421">
        <v>0</v>
      </c>
      <c r="AC421">
        <v>0</v>
      </c>
      <c r="AD421">
        <v>0</v>
      </c>
      <c r="AE421">
        <v>0</v>
      </c>
      <c r="AF421">
        <v>0</v>
      </c>
      <c r="AG421">
        <v>0</v>
      </c>
      <c r="AH421">
        <v>0</v>
      </c>
      <c r="AI421">
        <v>0</v>
      </c>
      <c r="AJ421">
        <v>0</v>
      </c>
      <c r="AK421">
        <v>0</v>
      </c>
      <c r="AL421">
        <v>0</v>
      </c>
      <c r="AM421">
        <v>0</v>
      </c>
      <c r="AN421">
        <v>0</v>
      </c>
      <c r="AO421">
        <v>0</v>
      </c>
      <c r="AP421">
        <v>0</v>
      </c>
      <c r="AQ421">
        <v>0</v>
      </c>
      <c r="AR421">
        <v>0</v>
      </c>
      <c r="AS421">
        <v>0</v>
      </c>
      <c r="AT421">
        <v>0</v>
      </c>
      <c r="AU421">
        <v>0</v>
      </c>
      <c r="AV421">
        <v>0</v>
      </c>
      <c r="AW421">
        <v>0</v>
      </c>
      <c r="AX421">
        <v>0</v>
      </c>
      <c r="AY421">
        <v>0</v>
      </c>
      <c r="AZ421">
        <v>0</v>
      </c>
      <c r="BA421">
        <v>0</v>
      </c>
      <c r="BB421">
        <v>0</v>
      </c>
      <c r="BC421">
        <v>0</v>
      </c>
      <c r="BD421">
        <v>0</v>
      </c>
      <c r="BE421">
        <v>0</v>
      </c>
      <c r="BF421">
        <v>0</v>
      </c>
      <c r="BG421">
        <v>0</v>
      </c>
      <c r="BH421">
        <v>0</v>
      </c>
      <c r="BI421">
        <v>0</v>
      </c>
      <c r="BJ421">
        <v>0</v>
      </c>
      <c r="BK421">
        <v>0</v>
      </c>
      <c r="BL421">
        <v>0</v>
      </c>
      <c r="BM421">
        <v>0</v>
      </c>
      <c r="BN421">
        <v>0</v>
      </c>
      <c r="BO421">
        <v>0</v>
      </c>
      <c r="BP421">
        <v>0</v>
      </c>
      <c r="BQ421">
        <v>0</v>
      </c>
      <c r="BR421">
        <v>0</v>
      </c>
      <c r="BS421">
        <v>0</v>
      </c>
      <c r="BT421">
        <v>0</v>
      </c>
      <c r="BU421">
        <v>0</v>
      </c>
      <c r="BV421">
        <v>0</v>
      </c>
      <c r="BW421">
        <v>0</v>
      </c>
      <c r="BX421">
        <v>0</v>
      </c>
      <c r="BY421">
        <v>0</v>
      </c>
      <c r="BZ421">
        <v>0</v>
      </c>
      <c r="CA421">
        <v>0</v>
      </c>
      <c r="CB421">
        <v>0</v>
      </c>
    </row>
    <row r="422" spans="1:80" x14ac:dyDescent="0.2">
      <c r="A422">
        <v>0</v>
      </c>
      <c r="B422">
        <v>0</v>
      </c>
      <c r="C422">
        <v>0</v>
      </c>
      <c r="D422">
        <v>0</v>
      </c>
      <c r="E422">
        <v>0</v>
      </c>
      <c r="F422">
        <v>0</v>
      </c>
      <c r="G422">
        <v>0</v>
      </c>
      <c r="H422">
        <v>0</v>
      </c>
      <c r="I422">
        <v>0</v>
      </c>
      <c r="J422">
        <v>0</v>
      </c>
      <c r="K422">
        <v>0</v>
      </c>
      <c r="L422">
        <v>0</v>
      </c>
      <c r="M422">
        <v>0</v>
      </c>
      <c r="N422">
        <v>0</v>
      </c>
      <c r="O422">
        <v>0</v>
      </c>
      <c r="P422">
        <v>0</v>
      </c>
      <c r="Q422">
        <v>0</v>
      </c>
      <c r="R422">
        <v>0</v>
      </c>
      <c r="S422">
        <v>0</v>
      </c>
      <c r="T422">
        <v>0</v>
      </c>
      <c r="U422">
        <v>0</v>
      </c>
      <c r="V422">
        <v>0</v>
      </c>
      <c r="W422">
        <v>0</v>
      </c>
      <c r="X422">
        <v>0</v>
      </c>
      <c r="Y422">
        <v>0</v>
      </c>
      <c r="Z422">
        <v>0</v>
      </c>
      <c r="AA422">
        <v>0</v>
      </c>
      <c r="AB422">
        <v>0</v>
      </c>
      <c r="AC422">
        <v>0</v>
      </c>
      <c r="AD422">
        <v>0</v>
      </c>
      <c r="AE422">
        <v>0</v>
      </c>
      <c r="AF422">
        <v>0</v>
      </c>
      <c r="AG422">
        <v>0</v>
      </c>
      <c r="AH422">
        <v>0</v>
      </c>
      <c r="AI422">
        <v>0</v>
      </c>
      <c r="AJ422">
        <v>0</v>
      </c>
      <c r="AK422">
        <v>0</v>
      </c>
      <c r="AL422">
        <v>0</v>
      </c>
      <c r="AM422">
        <v>0</v>
      </c>
      <c r="AN422">
        <v>0</v>
      </c>
      <c r="AO422">
        <v>0</v>
      </c>
      <c r="AP422">
        <v>0</v>
      </c>
      <c r="AQ422">
        <v>0</v>
      </c>
      <c r="AR422">
        <v>0</v>
      </c>
      <c r="AS422">
        <v>0</v>
      </c>
      <c r="AT422">
        <v>0</v>
      </c>
      <c r="AU422">
        <v>0</v>
      </c>
      <c r="AV422">
        <v>0</v>
      </c>
      <c r="AW422">
        <v>0</v>
      </c>
      <c r="AX422">
        <v>0</v>
      </c>
      <c r="AY422">
        <v>0</v>
      </c>
      <c r="AZ422">
        <v>0</v>
      </c>
      <c r="BA422">
        <v>0</v>
      </c>
      <c r="BB422">
        <v>0</v>
      </c>
      <c r="BC422">
        <v>0</v>
      </c>
      <c r="BD422">
        <v>0</v>
      </c>
      <c r="BE422">
        <v>0</v>
      </c>
      <c r="BF422">
        <v>0</v>
      </c>
      <c r="BG422">
        <v>0</v>
      </c>
      <c r="BH422">
        <v>0</v>
      </c>
      <c r="BI422">
        <v>0</v>
      </c>
      <c r="BJ422">
        <v>0</v>
      </c>
      <c r="BK422">
        <v>0</v>
      </c>
      <c r="BL422">
        <v>0</v>
      </c>
      <c r="BM422">
        <v>0</v>
      </c>
      <c r="BN422">
        <v>0</v>
      </c>
      <c r="BO422">
        <v>0</v>
      </c>
      <c r="BP422">
        <v>0</v>
      </c>
      <c r="BQ422">
        <v>0</v>
      </c>
      <c r="BR422">
        <v>0</v>
      </c>
      <c r="BS422">
        <v>0</v>
      </c>
      <c r="BT422">
        <v>0</v>
      </c>
      <c r="BU422">
        <v>0</v>
      </c>
      <c r="BV422">
        <v>0</v>
      </c>
      <c r="BW422">
        <v>0</v>
      </c>
      <c r="BX422">
        <v>0</v>
      </c>
      <c r="BY422">
        <v>0</v>
      </c>
      <c r="BZ422">
        <v>0</v>
      </c>
      <c r="CA422">
        <v>0</v>
      </c>
      <c r="CB422">
        <v>0</v>
      </c>
    </row>
    <row r="423" spans="1:80" x14ac:dyDescent="0.2">
      <c r="A423">
        <v>0</v>
      </c>
      <c r="B423">
        <v>0</v>
      </c>
      <c r="C423">
        <v>0</v>
      </c>
      <c r="D423">
        <v>0</v>
      </c>
      <c r="E423">
        <v>0</v>
      </c>
      <c r="F423">
        <v>0</v>
      </c>
      <c r="G423">
        <v>0</v>
      </c>
      <c r="H423">
        <v>0</v>
      </c>
      <c r="I423">
        <v>0</v>
      </c>
      <c r="J423">
        <v>0</v>
      </c>
      <c r="K423">
        <v>0</v>
      </c>
      <c r="L423">
        <v>0</v>
      </c>
      <c r="M423">
        <v>0</v>
      </c>
      <c r="N423">
        <v>0</v>
      </c>
      <c r="O423">
        <v>0</v>
      </c>
      <c r="P423">
        <v>0</v>
      </c>
      <c r="Q423">
        <v>0</v>
      </c>
      <c r="R423">
        <v>0</v>
      </c>
      <c r="S423">
        <v>0</v>
      </c>
      <c r="T423">
        <v>0</v>
      </c>
      <c r="U423">
        <v>0</v>
      </c>
      <c r="V423">
        <v>0</v>
      </c>
      <c r="W423">
        <v>0</v>
      </c>
      <c r="X423">
        <v>0</v>
      </c>
      <c r="Y423">
        <v>0</v>
      </c>
      <c r="Z423">
        <v>0</v>
      </c>
      <c r="AA423">
        <v>0</v>
      </c>
      <c r="AB423">
        <v>0</v>
      </c>
      <c r="AC423">
        <v>0</v>
      </c>
      <c r="AD423">
        <v>0</v>
      </c>
      <c r="AE423">
        <v>0</v>
      </c>
      <c r="AF423">
        <v>0</v>
      </c>
      <c r="AG423">
        <v>0</v>
      </c>
      <c r="AH423">
        <v>0</v>
      </c>
      <c r="AI423">
        <v>0</v>
      </c>
      <c r="AJ423">
        <v>0</v>
      </c>
      <c r="AK423">
        <v>0</v>
      </c>
      <c r="AL423">
        <v>0</v>
      </c>
      <c r="AM423">
        <v>0</v>
      </c>
      <c r="AN423">
        <v>0</v>
      </c>
      <c r="AO423">
        <v>0</v>
      </c>
      <c r="AP423">
        <v>0</v>
      </c>
      <c r="AQ423">
        <v>0</v>
      </c>
      <c r="AR423">
        <v>0</v>
      </c>
      <c r="AS423">
        <v>0</v>
      </c>
      <c r="AT423">
        <v>0</v>
      </c>
      <c r="AU423">
        <v>0</v>
      </c>
      <c r="AV423">
        <v>0</v>
      </c>
      <c r="AW423">
        <v>0</v>
      </c>
      <c r="AX423">
        <v>0</v>
      </c>
      <c r="AY423">
        <v>0</v>
      </c>
      <c r="AZ423">
        <v>0</v>
      </c>
      <c r="BA423">
        <v>0</v>
      </c>
      <c r="BB423">
        <v>0</v>
      </c>
      <c r="BC423">
        <v>0</v>
      </c>
      <c r="BD423">
        <v>0</v>
      </c>
      <c r="BE423">
        <v>0</v>
      </c>
      <c r="BF423">
        <v>0</v>
      </c>
      <c r="BG423">
        <v>0</v>
      </c>
      <c r="BH423">
        <v>0</v>
      </c>
      <c r="BI423">
        <v>0</v>
      </c>
      <c r="BJ423">
        <v>0</v>
      </c>
      <c r="BK423">
        <v>0</v>
      </c>
      <c r="BL423">
        <v>0</v>
      </c>
      <c r="BM423">
        <v>0</v>
      </c>
      <c r="BN423">
        <v>0</v>
      </c>
      <c r="BO423">
        <v>0</v>
      </c>
      <c r="BP423">
        <v>0</v>
      </c>
      <c r="BQ423">
        <v>0</v>
      </c>
      <c r="BR423">
        <v>0</v>
      </c>
      <c r="BS423">
        <v>0</v>
      </c>
      <c r="BT423">
        <v>0</v>
      </c>
      <c r="BU423">
        <v>0</v>
      </c>
      <c r="BV423">
        <v>0</v>
      </c>
      <c r="BW423">
        <v>0</v>
      </c>
      <c r="BX423">
        <v>0</v>
      </c>
      <c r="BY423">
        <v>0</v>
      </c>
      <c r="BZ423">
        <v>0</v>
      </c>
      <c r="CA423">
        <v>0</v>
      </c>
      <c r="CB423">
        <v>0</v>
      </c>
    </row>
    <row r="424" spans="1:80" x14ac:dyDescent="0.2">
      <c r="A424">
        <v>0</v>
      </c>
      <c r="B424">
        <v>0</v>
      </c>
      <c r="C424">
        <v>0</v>
      </c>
      <c r="D424">
        <v>0</v>
      </c>
      <c r="E424">
        <v>0</v>
      </c>
      <c r="F424">
        <v>0</v>
      </c>
      <c r="G424">
        <v>0</v>
      </c>
      <c r="H424">
        <v>0</v>
      </c>
      <c r="I424">
        <v>0</v>
      </c>
      <c r="J424">
        <v>0</v>
      </c>
      <c r="K424">
        <v>0</v>
      </c>
      <c r="L424">
        <v>0</v>
      </c>
      <c r="M424">
        <v>0</v>
      </c>
      <c r="N424">
        <v>0</v>
      </c>
      <c r="O424">
        <v>0</v>
      </c>
      <c r="P424">
        <v>0</v>
      </c>
      <c r="Q424">
        <v>0</v>
      </c>
      <c r="R424">
        <v>0</v>
      </c>
      <c r="S424">
        <v>0</v>
      </c>
      <c r="T424">
        <v>0</v>
      </c>
      <c r="U424">
        <v>0</v>
      </c>
      <c r="V424">
        <v>0</v>
      </c>
      <c r="W424">
        <v>0</v>
      </c>
      <c r="X424">
        <v>0</v>
      </c>
      <c r="Y424">
        <v>0</v>
      </c>
      <c r="Z424">
        <v>0</v>
      </c>
      <c r="AA424">
        <v>0</v>
      </c>
      <c r="AB424">
        <v>0</v>
      </c>
      <c r="AC424">
        <v>0</v>
      </c>
      <c r="AD424">
        <v>0</v>
      </c>
      <c r="AE424">
        <v>0</v>
      </c>
      <c r="AF424">
        <v>0</v>
      </c>
      <c r="AG424">
        <v>0</v>
      </c>
      <c r="AH424">
        <v>0</v>
      </c>
      <c r="AI424">
        <v>0</v>
      </c>
      <c r="AJ424">
        <v>0</v>
      </c>
      <c r="AK424">
        <v>0</v>
      </c>
      <c r="AL424">
        <v>0</v>
      </c>
      <c r="AM424">
        <v>0</v>
      </c>
      <c r="AN424">
        <v>0</v>
      </c>
      <c r="AO424">
        <v>0</v>
      </c>
      <c r="AP424">
        <v>0</v>
      </c>
      <c r="AQ424">
        <v>0</v>
      </c>
      <c r="AR424">
        <v>0</v>
      </c>
      <c r="AS424">
        <v>0</v>
      </c>
      <c r="AT424">
        <v>0</v>
      </c>
      <c r="AU424">
        <v>0</v>
      </c>
      <c r="AV424">
        <v>0</v>
      </c>
      <c r="AW424">
        <v>0</v>
      </c>
      <c r="AX424">
        <v>0</v>
      </c>
      <c r="AY424">
        <v>0</v>
      </c>
      <c r="AZ424">
        <v>0</v>
      </c>
      <c r="BA424">
        <v>0</v>
      </c>
      <c r="BB424">
        <v>0</v>
      </c>
      <c r="BC424">
        <v>0</v>
      </c>
      <c r="BD424">
        <v>0</v>
      </c>
      <c r="BE424">
        <v>0</v>
      </c>
      <c r="BF424">
        <v>0</v>
      </c>
      <c r="BG424">
        <v>0</v>
      </c>
      <c r="BH424">
        <v>0</v>
      </c>
      <c r="BI424">
        <v>0</v>
      </c>
      <c r="BJ424">
        <v>0</v>
      </c>
      <c r="BK424">
        <v>0</v>
      </c>
      <c r="BL424">
        <v>0</v>
      </c>
      <c r="BM424">
        <v>0</v>
      </c>
      <c r="BN424">
        <v>0</v>
      </c>
      <c r="BO424">
        <v>0</v>
      </c>
      <c r="BP424">
        <v>0</v>
      </c>
      <c r="BQ424">
        <v>0</v>
      </c>
      <c r="BR424">
        <v>0</v>
      </c>
      <c r="BS424">
        <v>0</v>
      </c>
      <c r="BT424">
        <v>0</v>
      </c>
      <c r="BU424">
        <v>0</v>
      </c>
      <c r="BV424">
        <v>0</v>
      </c>
      <c r="BW424">
        <v>0</v>
      </c>
      <c r="BX424">
        <v>0</v>
      </c>
      <c r="BY424">
        <v>0</v>
      </c>
      <c r="BZ424">
        <v>0</v>
      </c>
      <c r="CA424">
        <v>0</v>
      </c>
      <c r="CB424">
        <v>0</v>
      </c>
    </row>
    <row r="425" spans="1:80" x14ac:dyDescent="0.2">
      <c r="A425">
        <v>0</v>
      </c>
      <c r="B425">
        <v>0</v>
      </c>
      <c r="C425">
        <v>0</v>
      </c>
      <c r="D425">
        <v>0</v>
      </c>
      <c r="E425">
        <v>0</v>
      </c>
      <c r="F425">
        <v>0</v>
      </c>
      <c r="G425">
        <v>0</v>
      </c>
      <c r="H425">
        <v>0</v>
      </c>
      <c r="I425">
        <v>0</v>
      </c>
      <c r="J425">
        <v>0</v>
      </c>
      <c r="K425">
        <v>0</v>
      </c>
      <c r="L425">
        <v>0</v>
      </c>
      <c r="M425">
        <v>0</v>
      </c>
      <c r="N425">
        <v>0</v>
      </c>
      <c r="O425">
        <v>0</v>
      </c>
      <c r="P425">
        <v>0</v>
      </c>
      <c r="Q425">
        <v>0</v>
      </c>
      <c r="R425">
        <v>0</v>
      </c>
      <c r="S425">
        <v>0</v>
      </c>
      <c r="T425">
        <v>0</v>
      </c>
      <c r="U425">
        <v>0</v>
      </c>
      <c r="V425">
        <v>0</v>
      </c>
      <c r="W425">
        <v>0</v>
      </c>
      <c r="X425">
        <v>0</v>
      </c>
      <c r="Y425">
        <v>0</v>
      </c>
      <c r="Z425">
        <v>0</v>
      </c>
      <c r="AA425">
        <v>0</v>
      </c>
      <c r="AB425">
        <v>0</v>
      </c>
      <c r="AC425">
        <v>0</v>
      </c>
      <c r="AD425">
        <v>0</v>
      </c>
      <c r="AE425">
        <v>0</v>
      </c>
      <c r="AF425">
        <v>0</v>
      </c>
      <c r="AG425">
        <v>0</v>
      </c>
      <c r="AH425">
        <v>0</v>
      </c>
      <c r="AI425">
        <v>0</v>
      </c>
      <c r="AJ425">
        <v>0</v>
      </c>
      <c r="AK425">
        <v>0</v>
      </c>
      <c r="AL425">
        <v>0</v>
      </c>
      <c r="AM425">
        <v>0</v>
      </c>
      <c r="AN425">
        <v>0</v>
      </c>
      <c r="AO425">
        <v>0</v>
      </c>
      <c r="AP425">
        <v>0</v>
      </c>
      <c r="AQ425">
        <v>0</v>
      </c>
      <c r="AR425">
        <v>0</v>
      </c>
      <c r="AS425">
        <v>0</v>
      </c>
      <c r="AT425">
        <v>0</v>
      </c>
      <c r="AU425">
        <v>0</v>
      </c>
      <c r="AV425">
        <v>0</v>
      </c>
      <c r="AW425">
        <v>0</v>
      </c>
      <c r="AX425">
        <v>0</v>
      </c>
      <c r="AY425">
        <v>0</v>
      </c>
      <c r="AZ425">
        <v>0</v>
      </c>
      <c r="BA425">
        <v>0</v>
      </c>
      <c r="BB425">
        <v>0</v>
      </c>
      <c r="BC425">
        <v>0</v>
      </c>
      <c r="BD425">
        <v>0</v>
      </c>
      <c r="BE425">
        <v>0</v>
      </c>
      <c r="BF425">
        <v>0</v>
      </c>
      <c r="BG425">
        <v>0</v>
      </c>
      <c r="BH425">
        <v>0</v>
      </c>
      <c r="BI425">
        <v>0</v>
      </c>
      <c r="BJ425">
        <v>0</v>
      </c>
      <c r="BK425">
        <v>0</v>
      </c>
      <c r="BL425">
        <v>0</v>
      </c>
      <c r="BM425">
        <v>0</v>
      </c>
      <c r="BN425">
        <v>0</v>
      </c>
      <c r="BO425">
        <v>0</v>
      </c>
      <c r="BP425">
        <v>0</v>
      </c>
      <c r="BQ425">
        <v>0</v>
      </c>
      <c r="BR425">
        <v>0</v>
      </c>
      <c r="BS425">
        <v>0</v>
      </c>
      <c r="BT425">
        <v>0</v>
      </c>
      <c r="BU425">
        <v>0</v>
      </c>
      <c r="BV425">
        <v>0</v>
      </c>
      <c r="BW425">
        <v>0</v>
      </c>
      <c r="BX425">
        <v>0</v>
      </c>
      <c r="BY425">
        <v>0</v>
      </c>
      <c r="BZ425">
        <v>0</v>
      </c>
      <c r="CA425">
        <v>0</v>
      </c>
      <c r="CB425">
        <v>0</v>
      </c>
    </row>
    <row r="426" spans="1:80" x14ac:dyDescent="0.2">
      <c r="A426">
        <v>0</v>
      </c>
      <c r="B426">
        <v>0</v>
      </c>
      <c r="C426">
        <v>0</v>
      </c>
      <c r="D426">
        <v>0</v>
      </c>
      <c r="E426">
        <v>0</v>
      </c>
      <c r="F426">
        <v>0</v>
      </c>
      <c r="G426">
        <v>0</v>
      </c>
      <c r="H426">
        <v>0</v>
      </c>
      <c r="I426">
        <v>0</v>
      </c>
      <c r="J426">
        <v>0</v>
      </c>
      <c r="K426">
        <v>0</v>
      </c>
      <c r="L426">
        <v>0</v>
      </c>
      <c r="M426">
        <v>0</v>
      </c>
      <c r="N426">
        <v>0</v>
      </c>
      <c r="O426">
        <v>0</v>
      </c>
      <c r="P426">
        <v>0</v>
      </c>
      <c r="Q426">
        <v>0</v>
      </c>
      <c r="R426">
        <v>0</v>
      </c>
      <c r="S426">
        <v>0</v>
      </c>
      <c r="T426">
        <v>0</v>
      </c>
      <c r="U426">
        <v>0</v>
      </c>
      <c r="V426">
        <v>0</v>
      </c>
      <c r="W426">
        <v>0</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v>0</v>
      </c>
      <c r="AW426">
        <v>0</v>
      </c>
      <c r="AX426">
        <v>0</v>
      </c>
      <c r="AY426">
        <v>0</v>
      </c>
      <c r="AZ426">
        <v>0</v>
      </c>
      <c r="BA426">
        <v>0</v>
      </c>
      <c r="BB426">
        <v>0</v>
      </c>
      <c r="BC426">
        <v>0</v>
      </c>
      <c r="BD426">
        <v>0</v>
      </c>
      <c r="BE426">
        <v>0</v>
      </c>
      <c r="BF426">
        <v>0</v>
      </c>
      <c r="BG426">
        <v>0</v>
      </c>
      <c r="BH426">
        <v>0</v>
      </c>
      <c r="BI426">
        <v>0</v>
      </c>
      <c r="BJ426">
        <v>0</v>
      </c>
      <c r="BK426">
        <v>0</v>
      </c>
      <c r="BL426">
        <v>0</v>
      </c>
      <c r="BM426">
        <v>0</v>
      </c>
      <c r="BN426">
        <v>0</v>
      </c>
      <c r="BO426">
        <v>0</v>
      </c>
      <c r="BP426">
        <v>0</v>
      </c>
      <c r="BQ426">
        <v>0</v>
      </c>
      <c r="BR426">
        <v>0</v>
      </c>
      <c r="BS426">
        <v>0</v>
      </c>
      <c r="BT426">
        <v>0</v>
      </c>
      <c r="BU426">
        <v>0</v>
      </c>
      <c r="BV426">
        <v>0</v>
      </c>
      <c r="BW426">
        <v>0</v>
      </c>
      <c r="BX426">
        <v>0</v>
      </c>
      <c r="BY426">
        <v>0</v>
      </c>
      <c r="BZ426">
        <v>0</v>
      </c>
      <c r="CA426">
        <v>0</v>
      </c>
      <c r="CB426">
        <v>0</v>
      </c>
    </row>
    <row r="427" spans="1:80" x14ac:dyDescent="0.2">
      <c r="A427">
        <v>0</v>
      </c>
      <c r="B427">
        <v>0</v>
      </c>
      <c r="C427">
        <v>0</v>
      </c>
      <c r="D427">
        <v>0</v>
      </c>
      <c r="E427">
        <v>0</v>
      </c>
      <c r="F427">
        <v>0</v>
      </c>
      <c r="G427">
        <v>0</v>
      </c>
      <c r="H427">
        <v>0</v>
      </c>
      <c r="I427">
        <v>0</v>
      </c>
      <c r="J427">
        <v>0</v>
      </c>
      <c r="K427">
        <v>0</v>
      </c>
      <c r="L427">
        <v>0</v>
      </c>
      <c r="M427">
        <v>0</v>
      </c>
      <c r="N427">
        <v>0</v>
      </c>
      <c r="O427">
        <v>0</v>
      </c>
      <c r="P427">
        <v>0</v>
      </c>
      <c r="Q427">
        <v>0</v>
      </c>
      <c r="R427">
        <v>0</v>
      </c>
      <c r="S427">
        <v>0</v>
      </c>
      <c r="T427">
        <v>0</v>
      </c>
      <c r="U427">
        <v>0</v>
      </c>
      <c r="V427">
        <v>0</v>
      </c>
      <c r="W427">
        <v>0</v>
      </c>
      <c r="X427">
        <v>0</v>
      </c>
      <c r="Y427">
        <v>0</v>
      </c>
      <c r="Z427">
        <v>0</v>
      </c>
      <c r="AA427">
        <v>0</v>
      </c>
      <c r="AB427">
        <v>0</v>
      </c>
      <c r="AC427">
        <v>0</v>
      </c>
      <c r="AD427">
        <v>0</v>
      </c>
      <c r="AE427">
        <v>0</v>
      </c>
      <c r="AF427">
        <v>0</v>
      </c>
      <c r="AG427">
        <v>0</v>
      </c>
      <c r="AH427">
        <v>0</v>
      </c>
      <c r="AI427">
        <v>0</v>
      </c>
      <c r="AJ427">
        <v>0</v>
      </c>
      <c r="AK427">
        <v>0</v>
      </c>
      <c r="AL427">
        <v>0</v>
      </c>
      <c r="AM427">
        <v>0</v>
      </c>
      <c r="AN427">
        <v>0</v>
      </c>
      <c r="AO427">
        <v>0</v>
      </c>
      <c r="AP427">
        <v>0</v>
      </c>
      <c r="AQ427">
        <v>0</v>
      </c>
      <c r="AR427">
        <v>0</v>
      </c>
      <c r="AS427">
        <v>0</v>
      </c>
      <c r="AT427">
        <v>0</v>
      </c>
      <c r="AU427">
        <v>0</v>
      </c>
      <c r="AV427">
        <v>0</v>
      </c>
      <c r="AW427">
        <v>0</v>
      </c>
      <c r="AX427">
        <v>0</v>
      </c>
      <c r="AY427">
        <v>0</v>
      </c>
      <c r="AZ427">
        <v>0</v>
      </c>
      <c r="BA427">
        <v>0</v>
      </c>
      <c r="BB427">
        <v>0</v>
      </c>
      <c r="BC427">
        <v>0</v>
      </c>
      <c r="BD427">
        <v>0</v>
      </c>
      <c r="BE427">
        <v>0</v>
      </c>
      <c r="BF427">
        <v>0</v>
      </c>
      <c r="BG427">
        <v>0</v>
      </c>
      <c r="BH427">
        <v>0</v>
      </c>
      <c r="BI427">
        <v>0</v>
      </c>
      <c r="BJ427">
        <v>0</v>
      </c>
      <c r="BK427">
        <v>0</v>
      </c>
      <c r="BL427">
        <v>0</v>
      </c>
      <c r="BM427">
        <v>0</v>
      </c>
      <c r="BN427">
        <v>0</v>
      </c>
      <c r="BO427">
        <v>0</v>
      </c>
      <c r="BP427">
        <v>0</v>
      </c>
      <c r="BQ427">
        <v>0</v>
      </c>
      <c r="BR427">
        <v>0</v>
      </c>
      <c r="BS427">
        <v>0</v>
      </c>
      <c r="BT427">
        <v>0</v>
      </c>
      <c r="BU427">
        <v>0</v>
      </c>
      <c r="BV427">
        <v>0</v>
      </c>
      <c r="BW427">
        <v>0</v>
      </c>
      <c r="BX427">
        <v>0</v>
      </c>
      <c r="BY427">
        <v>0</v>
      </c>
      <c r="BZ427">
        <v>0</v>
      </c>
      <c r="CA427">
        <v>0</v>
      </c>
      <c r="CB427">
        <v>0</v>
      </c>
    </row>
    <row r="428" spans="1:80" x14ac:dyDescent="0.2">
      <c r="A428">
        <v>0</v>
      </c>
      <c r="B428">
        <v>0</v>
      </c>
      <c r="C428">
        <v>0</v>
      </c>
      <c r="D428">
        <v>0</v>
      </c>
      <c r="E428">
        <v>0</v>
      </c>
      <c r="F428">
        <v>0</v>
      </c>
      <c r="G428">
        <v>0</v>
      </c>
      <c r="H428">
        <v>0</v>
      </c>
      <c r="I428">
        <v>0</v>
      </c>
      <c r="J428">
        <v>0</v>
      </c>
      <c r="K428">
        <v>0</v>
      </c>
      <c r="L428">
        <v>0</v>
      </c>
      <c r="M428">
        <v>0</v>
      </c>
      <c r="N428">
        <v>0</v>
      </c>
      <c r="O428">
        <v>0</v>
      </c>
      <c r="P428">
        <v>0</v>
      </c>
      <c r="Q428">
        <v>0</v>
      </c>
      <c r="R428">
        <v>0</v>
      </c>
      <c r="S428">
        <v>0</v>
      </c>
      <c r="T428">
        <v>0</v>
      </c>
      <c r="U428">
        <v>0</v>
      </c>
      <c r="V428">
        <v>0</v>
      </c>
      <c r="W428">
        <v>0</v>
      </c>
      <c r="X428">
        <v>0</v>
      </c>
      <c r="Y428">
        <v>0</v>
      </c>
      <c r="Z428">
        <v>0</v>
      </c>
      <c r="AA428">
        <v>0</v>
      </c>
      <c r="AB428">
        <v>0</v>
      </c>
      <c r="AC428">
        <v>0</v>
      </c>
      <c r="AD428">
        <v>0</v>
      </c>
      <c r="AE428">
        <v>0</v>
      </c>
      <c r="AF428">
        <v>0</v>
      </c>
      <c r="AG428">
        <v>0</v>
      </c>
      <c r="AH428">
        <v>0</v>
      </c>
      <c r="AI428">
        <v>0</v>
      </c>
      <c r="AJ428">
        <v>0</v>
      </c>
      <c r="AK428">
        <v>0</v>
      </c>
      <c r="AL428">
        <v>0</v>
      </c>
      <c r="AM428">
        <v>0</v>
      </c>
      <c r="AN428">
        <v>0</v>
      </c>
      <c r="AO428">
        <v>0</v>
      </c>
      <c r="AP428">
        <v>0</v>
      </c>
      <c r="AQ428">
        <v>0</v>
      </c>
      <c r="AR428">
        <v>0</v>
      </c>
      <c r="AS428">
        <v>0</v>
      </c>
      <c r="AT428">
        <v>0</v>
      </c>
      <c r="AU428">
        <v>0</v>
      </c>
      <c r="AV428">
        <v>0</v>
      </c>
      <c r="AW428">
        <v>0</v>
      </c>
      <c r="AX428">
        <v>0</v>
      </c>
      <c r="AY428">
        <v>0</v>
      </c>
      <c r="AZ428">
        <v>0</v>
      </c>
      <c r="BA428">
        <v>0</v>
      </c>
      <c r="BB428">
        <v>0</v>
      </c>
      <c r="BC428">
        <v>0</v>
      </c>
      <c r="BD428">
        <v>0</v>
      </c>
      <c r="BE428">
        <v>0</v>
      </c>
      <c r="BF428">
        <v>0</v>
      </c>
      <c r="BG428">
        <v>0</v>
      </c>
      <c r="BH428">
        <v>0</v>
      </c>
      <c r="BI428">
        <v>0</v>
      </c>
      <c r="BJ428">
        <v>0</v>
      </c>
      <c r="BK428">
        <v>0</v>
      </c>
      <c r="BL428">
        <v>0</v>
      </c>
      <c r="BM428">
        <v>0</v>
      </c>
      <c r="BN428">
        <v>0</v>
      </c>
      <c r="BO428">
        <v>0</v>
      </c>
      <c r="BP428">
        <v>0</v>
      </c>
      <c r="BQ428">
        <v>0</v>
      </c>
      <c r="BR428">
        <v>0</v>
      </c>
      <c r="BS428">
        <v>0</v>
      </c>
      <c r="BT428">
        <v>0</v>
      </c>
      <c r="BU428">
        <v>0</v>
      </c>
      <c r="BV428">
        <v>0</v>
      </c>
      <c r="BW428">
        <v>0</v>
      </c>
      <c r="BX428">
        <v>0</v>
      </c>
      <c r="BY428">
        <v>0</v>
      </c>
      <c r="BZ428">
        <v>0</v>
      </c>
      <c r="CA428">
        <v>0</v>
      </c>
      <c r="CB428">
        <v>0</v>
      </c>
    </row>
    <row r="429" spans="1:80" x14ac:dyDescent="0.2">
      <c r="A429">
        <v>0</v>
      </c>
      <c r="B429">
        <v>0</v>
      </c>
      <c r="C429">
        <v>0</v>
      </c>
      <c r="D429">
        <v>0</v>
      </c>
      <c r="E429">
        <v>0</v>
      </c>
      <c r="F429">
        <v>0</v>
      </c>
      <c r="G429">
        <v>0</v>
      </c>
      <c r="H429">
        <v>0</v>
      </c>
      <c r="I429">
        <v>0</v>
      </c>
      <c r="J429">
        <v>0</v>
      </c>
      <c r="K429">
        <v>0</v>
      </c>
      <c r="L429">
        <v>0</v>
      </c>
      <c r="M429">
        <v>0</v>
      </c>
      <c r="N429">
        <v>0</v>
      </c>
      <c r="O429">
        <v>0</v>
      </c>
      <c r="P429">
        <v>0</v>
      </c>
      <c r="Q429">
        <v>0</v>
      </c>
      <c r="R429">
        <v>0</v>
      </c>
      <c r="S429">
        <v>0</v>
      </c>
      <c r="T429">
        <v>0</v>
      </c>
      <c r="U429">
        <v>0</v>
      </c>
      <c r="V429">
        <v>0</v>
      </c>
      <c r="W429">
        <v>0</v>
      </c>
      <c r="X429">
        <v>0</v>
      </c>
      <c r="Y429">
        <v>0</v>
      </c>
      <c r="Z429">
        <v>0</v>
      </c>
      <c r="AA429">
        <v>0</v>
      </c>
      <c r="AB429">
        <v>0</v>
      </c>
      <c r="AC429">
        <v>0</v>
      </c>
      <c r="AD429">
        <v>0</v>
      </c>
      <c r="AE429">
        <v>0</v>
      </c>
      <c r="AF429">
        <v>0</v>
      </c>
      <c r="AG429">
        <v>0</v>
      </c>
      <c r="AH429">
        <v>0</v>
      </c>
      <c r="AI429">
        <v>0</v>
      </c>
      <c r="AJ429">
        <v>0</v>
      </c>
      <c r="AK429">
        <v>0</v>
      </c>
      <c r="AL429">
        <v>0</v>
      </c>
      <c r="AM429">
        <v>0</v>
      </c>
      <c r="AN429">
        <v>0</v>
      </c>
      <c r="AO429">
        <v>0</v>
      </c>
      <c r="AP429">
        <v>0</v>
      </c>
      <c r="AQ429">
        <v>0</v>
      </c>
      <c r="AR429">
        <v>0</v>
      </c>
      <c r="AS429">
        <v>0</v>
      </c>
      <c r="AT429">
        <v>0</v>
      </c>
      <c r="AU429">
        <v>0</v>
      </c>
      <c r="AV429">
        <v>0</v>
      </c>
      <c r="AW429">
        <v>0</v>
      </c>
      <c r="AX429">
        <v>0</v>
      </c>
      <c r="AY429">
        <v>0</v>
      </c>
      <c r="AZ429">
        <v>0</v>
      </c>
      <c r="BA429">
        <v>0</v>
      </c>
      <c r="BB429">
        <v>0</v>
      </c>
      <c r="BC429">
        <v>0</v>
      </c>
      <c r="BD429">
        <v>0</v>
      </c>
      <c r="BE429">
        <v>0</v>
      </c>
      <c r="BF429">
        <v>0</v>
      </c>
      <c r="BG429">
        <v>0</v>
      </c>
      <c r="BH429">
        <v>0</v>
      </c>
      <c r="BI429">
        <v>0</v>
      </c>
      <c r="BJ429">
        <v>0</v>
      </c>
      <c r="BK429">
        <v>0</v>
      </c>
      <c r="BL429">
        <v>0</v>
      </c>
      <c r="BM429">
        <v>0</v>
      </c>
      <c r="BN429">
        <v>0</v>
      </c>
      <c r="BO429">
        <v>0</v>
      </c>
      <c r="BP429">
        <v>0</v>
      </c>
      <c r="BQ429">
        <v>0</v>
      </c>
      <c r="BR429">
        <v>0</v>
      </c>
      <c r="BS429">
        <v>0</v>
      </c>
      <c r="BT429">
        <v>0</v>
      </c>
      <c r="BU429">
        <v>0</v>
      </c>
      <c r="BV429">
        <v>0</v>
      </c>
      <c r="BW429">
        <v>0</v>
      </c>
      <c r="BX429">
        <v>0</v>
      </c>
      <c r="BY429">
        <v>0</v>
      </c>
      <c r="BZ429">
        <v>0</v>
      </c>
      <c r="CA429">
        <v>0</v>
      </c>
      <c r="CB429">
        <v>0</v>
      </c>
    </row>
    <row r="430" spans="1:80" x14ac:dyDescent="0.2">
      <c r="A430">
        <v>0</v>
      </c>
      <c r="B430">
        <v>0</v>
      </c>
      <c r="C430">
        <v>0</v>
      </c>
      <c r="D430">
        <v>0</v>
      </c>
      <c r="E430">
        <v>0</v>
      </c>
      <c r="F430">
        <v>0</v>
      </c>
      <c r="G430">
        <v>0</v>
      </c>
      <c r="H430">
        <v>0</v>
      </c>
      <c r="I430">
        <v>0</v>
      </c>
      <c r="J430">
        <v>0</v>
      </c>
      <c r="K430">
        <v>0</v>
      </c>
      <c r="L430">
        <v>0</v>
      </c>
      <c r="M430">
        <v>0</v>
      </c>
      <c r="N430">
        <v>0</v>
      </c>
      <c r="O430">
        <v>0</v>
      </c>
      <c r="P430">
        <v>0</v>
      </c>
      <c r="Q430">
        <v>0</v>
      </c>
      <c r="R430">
        <v>0</v>
      </c>
      <c r="S430">
        <v>0</v>
      </c>
      <c r="T430">
        <v>0</v>
      </c>
      <c r="U430">
        <v>0</v>
      </c>
      <c r="V430">
        <v>0</v>
      </c>
      <c r="W430">
        <v>0</v>
      </c>
      <c r="X430">
        <v>0</v>
      </c>
      <c r="Y430">
        <v>0</v>
      </c>
      <c r="Z430">
        <v>0</v>
      </c>
      <c r="AA430">
        <v>0</v>
      </c>
      <c r="AB430">
        <v>0</v>
      </c>
      <c r="AC430">
        <v>0</v>
      </c>
      <c r="AD430">
        <v>0</v>
      </c>
      <c r="AE430">
        <v>0</v>
      </c>
      <c r="AF430">
        <v>0</v>
      </c>
      <c r="AG430">
        <v>0</v>
      </c>
      <c r="AH430">
        <v>0</v>
      </c>
      <c r="AI430">
        <v>0</v>
      </c>
      <c r="AJ430">
        <v>0</v>
      </c>
      <c r="AK430">
        <v>0</v>
      </c>
      <c r="AL430">
        <v>0</v>
      </c>
      <c r="AM430">
        <v>0</v>
      </c>
      <c r="AN430">
        <v>0</v>
      </c>
      <c r="AO430">
        <v>0</v>
      </c>
      <c r="AP430">
        <v>0</v>
      </c>
      <c r="AQ430">
        <v>0</v>
      </c>
      <c r="AR430">
        <v>0</v>
      </c>
      <c r="AS430">
        <v>0</v>
      </c>
      <c r="AT430">
        <v>0</v>
      </c>
      <c r="AU430">
        <v>0</v>
      </c>
      <c r="AV430">
        <v>0</v>
      </c>
      <c r="AW430">
        <v>0</v>
      </c>
      <c r="AX430">
        <v>0</v>
      </c>
      <c r="AY430">
        <v>0</v>
      </c>
      <c r="AZ430">
        <v>0</v>
      </c>
      <c r="BA430">
        <v>0</v>
      </c>
      <c r="BB430">
        <v>0</v>
      </c>
      <c r="BC430">
        <v>0</v>
      </c>
      <c r="BD430">
        <v>0</v>
      </c>
      <c r="BE430">
        <v>0</v>
      </c>
      <c r="BF430">
        <v>0</v>
      </c>
      <c r="BG430">
        <v>0</v>
      </c>
      <c r="BH430">
        <v>0</v>
      </c>
      <c r="BI430">
        <v>0</v>
      </c>
      <c r="BJ430">
        <v>0</v>
      </c>
      <c r="BK430">
        <v>0</v>
      </c>
      <c r="BL430">
        <v>0</v>
      </c>
      <c r="BM430">
        <v>0</v>
      </c>
      <c r="BN430">
        <v>0</v>
      </c>
      <c r="BO430">
        <v>0</v>
      </c>
      <c r="BP430">
        <v>0</v>
      </c>
      <c r="BQ430">
        <v>0</v>
      </c>
      <c r="BR430">
        <v>0</v>
      </c>
      <c r="BS430">
        <v>0</v>
      </c>
      <c r="BT430">
        <v>0</v>
      </c>
      <c r="BU430">
        <v>0</v>
      </c>
      <c r="BV430">
        <v>0</v>
      </c>
      <c r="BW430">
        <v>0</v>
      </c>
      <c r="BX430">
        <v>0</v>
      </c>
      <c r="BY430">
        <v>0</v>
      </c>
      <c r="BZ430">
        <v>0</v>
      </c>
      <c r="CA430">
        <v>0</v>
      </c>
      <c r="CB430">
        <v>0</v>
      </c>
    </row>
    <row r="431" spans="1:80" x14ac:dyDescent="0.2">
      <c r="A431">
        <v>0</v>
      </c>
      <c r="B431">
        <v>0</v>
      </c>
      <c r="C431">
        <v>0</v>
      </c>
      <c r="D431">
        <v>0</v>
      </c>
      <c r="E431">
        <v>0</v>
      </c>
      <c r="F431">
        <v>0</v>
      </c>
      <c r="G431">
        <v>0</v>
      </c>
      <c r="H431">
        <v>0</v>
      </c>
      <c r="I431">
        <v>0</v>
      </c>
      <c r="J431">
        <v>0</v>
      </c>
      <c r="K431">
        <v>0</v>
      </c>
      <c r="L431">
        <v>0</v>
      </c>
      <c r="M431">
        <v>0</v>
      </c>
      <c r="N431">
        <v>0</v>
      </c>
      <c r="O431">
        <v>0</v>
      </c>
      <c r="P431">
        <v>0</v>
      </c>
      <c r="Q431">
        <v>0</v>
      </c>
      <c r="R431">
        <v>0</v>
      </c>
      <c r="S431">
        <v>0</v>
      </c>
      <c r="T431">
        <v>0</v>
      </c>
      <c r="U431">
        <v>0</v>
      </c>
      <c r="V431">
        <v>0</v>
      </c>
      <c r="W431">
        <v>0</v>
      </c>
      <c r="X431">
        <v>0</v>
      </c>
      <c r="Y431">
        <v>0</v>
      </c>
      <c r="Z431">
        <v>0</v>
      </c>
      <c r="AA431">
        <v>0</v>
      </c>
      <c r="AB431">
        <v>0</v>
      </c>
      <c r="AC431">
        <v>0</v>
      </c>
      <c r="AD431">
        <v>0</v>
      </c>
      <c r="AE431">
        <v>0</v>
      </c>
      <c r="AF431">
        <v>0</v>
      </c>
      <c r="AG431">
        <v>0</v>
      </c>
      <c r="AH431">
        <v>0</v>
      </c>
      <c r="AI431">
        <v>0</v>
      </c>
      <c r="AJ431">
        <v>0</v>
      </c>
      <c r="AK431">
        <v>0</v>
      </c>
      <c r="AL431">
        <v>0</v>
      </c>
      <c r="AM431">
        <v>0</v>
      </c>
      <c r="AN431">
        <v>0</v>
      </c>
      <c r="AO431">
        <v>0</v>
      </c>
      <c r="AP431">
        <v>0</v>
      </c>
      <c r="AQ431">
        <v>0</v>
      </c>
      <c r="AR431">
        <v>0</v>
      </c>
      <c r="AS431">
        <v>0</v>
      </c>
      <c r="AT431">
        <v>0</v>
      </c>
      <c r="AU431">
        <v>0</v>
      </c>
      <c r="AV431">
        <v>0</v>
      </c>
      <c r="AW431">
        <v>0</v>
      </c>
      <c r="AX431">
        <v>0</v>
      </c>
      <c r="AY431">
        <v>0</v>
      </c>
      <c r="AZ431">
        <v>0</v>
      </c>
      <c r="BA431">
        <v>0</v>
      </c>
      <c r="BB431">
        <v>0</v>
      </c>
      <c r="BC431">
        <v>0</v>
      </c>
      <c r="BD431">
        <v>0</v>
      </c>
      <c r="BE431">
        <v>0</v>
      </c>
      <c r="BF431">
        <v>0</v>
      </c>
      <c r="BG431">
        <v>0</v>
      </c>
      <c r="BH431">
        <v>0</v>
      </c>
      <c r="BI431">
        <v>0</v>
      </c>
      <c r="BJ431">
        <v>0</v>
      </c>
      <c r="BK431">
        <v>0</v>
      </c>
      <c r="BL431">
        <v>0</v>
      </c>
      <c r="BM431">
        <v>0</v>
      </c>
      <c r="BN431">
        <v>0</v>
      </c>
      <c r="BO431">
        <v>0</v>
      </c>
      <c r="BP431">
        <v>0</v>
      </c>
      <c r="BQ431">
        <v>0</v>
      </c>
      <c r="BR431">
        <v>0</v>
      </c>
      <c r="BS431">
        <v>0</v>
      </c>
      <c r="BT431">
        <v>0</v>
      </c>
      <c r="BU431">
        <v>0</v>
      </c>
      <c r="BV431">
        <v>0</v>
      </c>
      <c r="BW431">
        <v>0</v>
      </c>
      <c r="BX431">
        <v>0</v>
      </c>
      <c r="BY431">
        <v>0</v>
      </c>
      <c r="BZ431">
        <v>0</v>
      </c>
      <c r="CA431">
        <v>0</v>
      </c>
      <c r="CB431">
        <v>0</v>
      </c>
    </row>
    <row r="432" spans="1:80" x14ac:dyDescent="0.2">
      <c r="A432">
        <v>0</v>
      </c>
      <c r="B432">
        <v>0</v>
      </c>
      <c r="C432">
        <v>0</v>
      </c>
      <c r="D432">
        <v>0</v>
      </c>
      <c r="E432">
        <v>0</v>
      </c>
      <c r="F432">
        <v>0</v>
      </c>
      <c r="G432">
        <v>0</v>
      </c>
      <c r="H432">
        <v>0</v>
      </c>
      <c r="I432">
        <v>0</v>
      </c>
      <c r="J432">
        <v>0</v>
      </c>
      <c r="K432">
        <v>0</v>
      </c>
      <c r="L432">
        <v>0</v>
      </c>
      <c r="M432">
        <v>0</v>
      </c>
      <c r="N432">
        <v>0</v>
      </c>
      <c r="O432">
        <v>0</v>
      </c>
      <c r="P432">
        <v>0</v>
      </c>
      <c r="Q432">
        <v>0</v>
      </c>
      <c r="R432">
        <v>0</v>
      </c>
      <c r="S432">
        <v>0</v>
      </c>
      <c r="T432">
        <v>0</v>
      </c>
      <c r="U432">
        <v>0</v>
      </c>
      <c r="V432">
        <v>0</v>
      </c>
      <c r="W432">
        <v>0</v>
      </c>
      <c r="X432">
        <v>0</v>
      </c>
      <c r="Y432">
        <v>0</v>
      </c>
      <c r="Z432">
        <v>0</v>
      </c>
      <c r="AA432">
        <v>0</v>
      </c>
      <c r="AB432">
        <v>0</v>
      </c>
      <c r="AC432">
        <v>0</v>
      </c>
      <c r="AD432">
        <v>0</v>
      </c>
      <c r="AE432">
        <v>0</v>
      </c>
      <c r="AF432">
        <v>0</v>
      </c>
      <c r="AG432">
        <v>0</v>
      </c>
      <c r="AH432">
        <v>0</v>
      </c>
      <c r="AI432">
        <v>0</v>
      </c>
      <c r="AJ432">
        <v>0</v>
      </c>
      <c r="AK432">
        <v>0</v>
      </c>
      <c r="AL432">
        <v>0</v>
      </c>
      <c r="AM432">
        <v>0</v>
      </c>
      <c r="AN432">
        <v>0</v>
      </c>
      <c r="AO432">
        <v>0</v>
      </c>
      <c r="AP432">
        <v>0</v>
      </c>
      <c r="AQ432">
        <v>0</v>
      </c>
      <c r="AR432">
        <v>0</v>
      </c>
      <c r="AS432">
        <v>0</v>
      </c>
      <c r="AT432">
        <v>0</v>
      </c>
      <c r="AU432">
        <v>0</v>
      </c>
      <c r="AV432">
        <v>0</v>
      </c>
      <c r="AW432">
        <v>0</v>
      </c>
      <c r="AX432">
        <v>0</v>
      </c>
      <c r="AY432">
        <v>0</v>
      </c>
      <c r="AZ432">
        <v>0</v>
      </c>
      <c r="BA432">
        <v>0</v>
      </c>
      <c r="BB432">
        <v>0</v>
      </c>
      <c r="BC432">
        <v>0</v>
      </c>
      <c r="BD432">
        <v>0</v>
      </c>
      <c r="BE432">
        <v>0</v>
      </c>
      <c r="BF432">
        <v>0</v>
      </c>
      <c r="BG432">
        <v>0</v>
      </c>
      <c r="BH432">
        <v>0</v>
      </c>
      <c r="BI432">
        <v>0</v>
      </c>
      <c r="BJ432">
        <v>0</v>
      </c>
      <c r="BK432">
        <v>0</v>
      </c>
      <c r="BL432">
        <v>0</v>
      </c>
      <c r="BM432">
        <v>0</v>
      </c>
      <c r="BN432">
        <v>0</v>
      </c>
      <c r="BO432">
        <v>0</v>
      </c>
      <c r="BP432">
        <v>0</v>
      </c>
      <c r="BQ432">
        <v>0</v>
      </c>
      <c r="BR432">
        <v>0</v>
      </c>
      <c r="BS432">
        <v>0</v>
      </c>
      <c r="BT432">
        <v>0</v>
      </c>
      <c r="BU432">
        <v>0</v>
      </c>
      <c r="BV432">
        <v>0</v>
      </c>
      <c r="BW432">
        <v>0</v>
      </c>
      <c r="BX432">
        <v>0</v>
      </c>
      <c r="BY432">
        <v>0</v>
      </c>
      <c r="BZ432">
        <v>0</v>
      </c>
      <c r="CA432">
        <v>0</v>
      </c>
      <c r="CB432">
        <v>0</v>
      </c>
    </row>
    <row r="433" spans="1:80" x14ac:dyDescent="0.2">
      <c r="A433">
        <v>0</v>
      </c>
      <c r="B433">
        <v>0</v>
      </c>
      <c r="C433">
        <v>0</v>
      </c>
      <c r="D433">
        <v>0</v>
      </c>
      <c r="E433">
        <v>0</v>
      </c>
      <c r="F433">
        <v>0</v>
      </c>
      <c r="G433">
        <v>0</v>
      </c>
      <c r="H433">
        <v>0</v>
      </c>
      <c r="I433">
        <v>0</v>
      </c>
      <c r="J433">
        <v>0</v>
      </c>
      <c r="K433">
        <v>0</v>
      </c>
      <c r="L433">
        <v>0</v>
      </c>
      <c r="M433">
        <v>0</v>
      </c>
      <c r="N433">
        <v>0</v>
      </c>
      <c r="O433">
        <v>0</v>
      </c>
      <c r="P433">
        <v>0</v>
      </c>
      <c r="Q433">
        <v>0</v>
      </c>
      <c r="R433">
        <v>0</v>
      </c>
      <c r="S433">
        <v>0</v>
      </c>
      <c r="T433">
        <v>0</v>
      </c>
      <c r="U433">
        <v>0</v>
      </c>
      <c r="V433">
        <v>0</v>
      </c>
      <c r="W433">
        <v>0</v>
      </c>
      <c r="X433">
        <v>0</v>
      </c>
      <c r="Y433">
        <v>0</v>
      </c>
      <c r="Z433">
        <v>0</v>
      </c>
      <c r="AA433">
        <v>0</v>
      </c>
      <c r="AB433">
        <v>0</v>
      </c>
      <c r="AC433">
        <v>0</v>
      </c>
      <c r="AD433">
        <v>0</v>
      </c>
      <c r="AE433">
        <v>0</v>
      </c>
      <c r="AF433">
        <v>0</v>
      </c>
      <c r="AG433">
        <v>0</v>
      </c>
      <c r="AH433">
        <v>0</v>
      </c>
      <c r="AI433">
        <v>0</v>
      </c>
      <c r="AJ433">
        <v>0</v>
      </c>
      <c r="AK433">
        <v>0</v>
      </c>
      <c r="AL433">
        <v>0</v>
      </c>
      <c r="AM433">
        <v>0</v>
      </c>
      <c r="AN433">
        <v>0</v>
      </c>
      <c r="AO433">
        <v>0</v>
      </c>
      <c r="AP433">
        <v>0</v>
      </c>
      <c r="AQ433">
        <v>0</v>
      </c>
      <c r="AR433">
        <v>0</v>
      </c>
      <c r="AS433">
        <v>0</v>
      </c>
      <c r="AT433">
        <v>0</v>
      </c>
      <c r="AU433">
        <v>0</v>
      </c>
      <c r="AV433">
        <v>0</v>
      </c>
      <c r="AW433">
        <v>0</v>
      </c>
      <c r="AX433">
        <v>0</v>
      </c>
      <c r="AY433">
        <v>0</v>
      </c>
      <c r="AZ433">
        <v>0</v>
      </c>
      <c r="BA433">
        <v>0</v>
      </c>
      <c r="BB433">
        <v>0</v>
      </c>
      <c r="BC433">
        <v>0</v>
      </c>
      <c r="BD433">
        <v>0</v>
      </c>
      <c r="BE433">
        <v>0</v>
      </c>
      <c r="BF433">
        <v>0</v>
      </c>
      <c r="BG433">
        <v>0</v>
      </c>
      <c r="BH433">
        <v>0</v>
      </c>
      <c r="BI433">
        <v>0</v>
      </c>
      <c r="BJ433">
        <v>0</v>
      </c>
      <c r="BK433">
        <v>0</v>
      </c>
      <c r="BL433">
        <v>0</v>
      </c>
      <c r="BM433">
        <v>0</v>
      </c>
      <c r="BN433">
        <v>0</v>
      </c>
      <c r="BO433">
        <v>0</v>
      </c>
      <c r="BP433">
        <v>0</v>
      </c>
      <c r="BQ433">
        <v>0</v>
      </c>
      <c r="BR433">
        <v>0</v>
      </c>
      <c r="BS433">
        <v>0</v>
      </c>
      <c r="BT433">
        <v>0</v>
      </c>
      <c r="BU433">
        <v>0</v>
      </c>
      <c r="BV433">
        <v>0</v>
      </c>
      <c r="BW433">
        <v>0</v>
      </c>
      <c r="BX433">
        <v>0</v>
      </c>
      <c r="BY433">
        <v>0</v>
      </c>
      <c r="BZ433">
        <v>0</v>
      </c>
      <c r="CA433">
        <v>0</v>
      </c>
      <c r="CB433">
        <v>0</v>
      </c>
    </row>
    <row r="434" spans="1:80" x14ac:dyDescent="0.2">
      <c r="A434">
        <v>0</v>
      </c>
      <c r="B434">
        <v>0</v>
      </c>
      <c r="C434">
        <v>0</v>
      </c>
      <c r="D434">
        <v>0</v>
      </c>
      <c r="E434">
        <v>0</v>
      </c>
      <c r="F434">
        <v>0</v>
      </c>
      <c r="G434">
        <v>0</v>
      </c>
      <c r="H434">
        <v>0</v>
      </c>
      <c r="I434">
        <v>0</v>
      </c>
      <c r="J434">
        <v>0</v>
      </c>
      <c r="K434">
        <v>0</v>
      </c>
      <c r="L434">
        <v>0</v>
      </c>
      <c r="M434">
        <v>0</v>
      </c>
      <c r="N434">
        <v>0</v>
      </c>
      <c r="O434">
        <v>0</v>
      </c>
      <c r="P434">
        <v>0</v>
      </c>
      <c r="Q434">
        <v>0</v>
      </c>
      <c r="R434">
        <v>0</v>
      </c>
      <c r="S434">
        <v>0</v>
      </c>
      <c r="T434">
        <v>0</v>
      </c>
      <c r="U434">
        <v>0</v>
      </c>
      <c r="V434">
        <v>0</v>
      </c>
      <c r="W434">
        <v>0</v>
      </c>
      <c r="X434">
        <v>0</v>
      </c>
      <c r="Y434">
        <v>0</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v>0</v>
      </c>
      <c r="AS434">
        <v>0</v>
      </c>
      <c r="AT434">
        <v>0</v>
      </c>
      <c r="AU434">
        <v>0</v>
      </c>
      <c r="AV434">
        <v>0</v>
      </c>
      <c r="AW434">
        <v>0</v>
      </c>
      <c r="AX434">
        <v>0</v>
      </c>
      <c r="AY434">
        <v>0</v>
      </c>
      <c r="AZ434">
        <v>0</v>
      </c>
      <c r="BA434">
        <v>0</v>
      </c>
      <c r="BB434">
        <v>0</v>
      </c>
      <c r="BC434">
        <v>0</v>
      </c>
      <c r="BD434">
        <v>0</v>
      </c>
      <c r="BE434">
        <v>0</v>
      </c>
      <c r="BF434">
        <v>0</v>
      </c>
      <c r="BG434">
        <v>0</v>
      </c>
      <c r="BH434">
        <v>0</v>
      </c>
      <c r="BI434">
        <v>0</v>
      </c>
      <c r="BJ434">
        <v>0</v>
      </c>
      <c r="BK434">
        <v>0</v>
      </c>
      <c r="BL434">
        <v>0</v>
      </c>
      <c r="BM434">
        <v>0</v>
      </c>
      <c r="BN434">
        <v>0</v>
      </c>
      <c r="BO434">
        <v>0</v>
      </c>
      <c r="BP434">
        <v>0</v>
      </c>
      <c r="BQ434">
        <v>0</v>
      </c>
      <c r="BR434">
        <v>0</v>
      </c>
      <c r="BS434">
        <v>0</v>
      </c>
      <c r="BT434">
        <v>0</v>
      </c>
      <c r="BU434">
        <v>0</v>
      </c>
      <c r="BV434">
        <v>0</v>
      </c>
      <c r="BW434">
        <v>0</v>
      </c>
      <c r="BX434">
        <v>0</v>
      </c>
      <c r="BY434">
        <v>0</v>
      </c>
      <c r="BZ434">
        <v>0</v>
      </c>
      <c r="CA434">
        <v>0</v>
      </c>
      <c r="CB434">
        <v>0</v>
      </c>
    </row>
    <row r="435" spans="1:80" x14ac:dyDescent="0.2">
      <c r="A435">
        <v>0</v>
      </c>
      <c r="B435">
        <v>0</v>
      </c>
      <c r="C435">
        <v>0</v>
      </c>
      <c r="D435">
        <v>0</v>
      </c>
      <c r="E435">
        <v>0</v>
      </c>
      <c r="F435">
        <v>0</v>
      </c>
      <c r="G435">
        <v>0</v>
      </c>
      <c r="H435">
        <v>0</v>
      </c>
      <c r="I435">
        <v>0</v>
      </c>
      <c r="J435">
        <v>0</v>
      </c>
      <c r="K435">
        <v>0</v>
      </c>
      <c r="L435">
        <v>0</v>
      </c>
      <c r="M435">
        <v>0</v>
      </c>
      <c r="N435">
        <v>0</v>
      </c>
      <c r="O435">
        <v>0</v>
      </c>
      <c r="P435">
        <v>0</v>
      </c>
      <c r="Q435">
        <v>0</v>
      </c>
      <c r="R435">
        <v>0</v>
      </c>
      <c r="S435">
        <v>0</v>
      </c>
      <c r="T435">
        <v>0</v>
      </c>
      <c r="U435">
        <v>0</v>
      </c>
      <c r="V435">
        <v>0</v>
      </c>
      <c r="W435">
        <v>0</v>
      </c>
      <c r="X435">
        <v>0</v>
      </c>
      <c r="Y435">
        <v>0</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v>0</v>
      </c>
      <c r="AS435">
        <v>0</v>
      </c>
      <c r="AT435">
        <v>0</v>
      </c>
      <c r="AU435">
        <v>0</v>
      </c>
      <c r="AV435">
        <v>0</v>
      </c>
      <c r="AW435">
        <v>0</v>
      </c>
      <c r="AX435">
        <v>0</v>
      </c>
      <c r="AY435">
        <v>0</v>
      </c>
      <c r="AZ435">
        <v>0</v>
      </c>
      <c r="BA435">
        <v>0</v>
      </c>
      <c r="BB435">
        <v>0</v>
      </c>
      <c r="BC435">
        <v>0</v>
      </c>
      <c r="BD435">
        <v>0</v>
      </c>
      <c r="BE435">
        <v>0</v>
      </c>
      <c r="BF435">
        <v>0</v>
      </c>
      <c r="BG435">
        <v>0</v>
      </c>
      <c r="BH435">
        <v>0</v>
      </c>
      <c r="BI435">
        <v>0</v>
      </c>
      <c r="BJ435">
        <v>0</v>
      </c>
      <c r="BK435">
        <v>0</v>
      </c>
      <c r="BL435">
        <v>0</v>
      </c>
      <c r="BM435">
        <v>0</v>
      </c>
      <c r="BN435">
        <v>0</v>
      </c>
      <c r="BO435">
        <v>0</v>
      </c>
      <c r="BP435">
        <v>0</v>
      </c>
      <c r="BQ435">
        <v>0</v>
      </c>
      <c r="BR435">
        <v>0</v>
      </c>
      <c r="BS435">
        <v>0</v>
      </c>
      <c r="BT435">
        <v>0</v>
      </c>
      <c r="BU435">
        <v>0</v>
      </c>
      <c r="BV435">
        <v>0</v>
      </c>
      <c r="BW435">
        <v>0</v>
      </c>
      <c r="BX435">
        <v>0</v>
      </c>
      <c r="BY435">
        <v>0</v>
      </c>
      <c r="BZ435">
        <v>0</v>
      </c>
      <c r="CA435">
        <v>0</v>
      </c>
      <c r="CB435">
        <v>0</v>
      </c>
    </row>
    <row r="436" spans="1:80" x14ac:dyDescent="0.2">
      <c r="A436">
        <v>0</v>
      </c>
      <c r="B436">
        <v>0</v>
      </c>
      <c r="C436">
        <v>0</v>
      </c>
      <c r="D436">
        <v>0</v>
      </c>
      <c r="E436">
        <v>0</v>
      </c>
      <c r="F436">
        <v>0</v>
      </c>
      <c r="G436">
        <v>0</v>
      </c>
      <c r="H436">
        <v>0</v>
      </c>
      <c r="I436">
        <v>0</v>
      </c>
      <c r="J436">
        <v>0</v>
      </c>
      <c r="K436">
        <v>0</v>
      </c>
      <c r="L436">
        <v>0</v>
      </c>
      <c r="M436">
        <v>0</v>
      </c>
      <c r="N436">
        <v>0</v>
      </c>
      <c r="O436">
        <v>0</v>
      </c>
      <c r="P436">
        <v>0</v>
      </c>
      <c r="Q436">
        <v>0</v>
      </c>
      <c r="R436">
        <v>0</v>
      </c>
      <c r="S436">
        <v>0</v>
      </c>
      <c r="T436">
        <v>0</v>
      </c>
      <c r="U436">
        <v>0</v>
      </c>
      <c r="V436">
        <v>0</v>
      </c>
      <c r="W436">
        <v>0</v>
      </c>
      <c r="X436">
        <v>0</v>
      </c>
      <c r="Y436">
        <v>0</v>
      </c>
      <c r="Z436">
        <v>0</v>
      </c>
      <c r="AA436">
        <v>0</v>
      </c>
      <c r="AB436">
        <v>0</v>
      </c>
      <c r="AC436">
        <v>0</v>
      </c>
      <c r="AD436">
        <v>0</v>
      </c>
      <c r="AE436">
        <v>0</v>
      </c>
      <c r="AF436">
        <v>0</v>
      </c>
      <c r="AG436">
        <v>0</v>
      </c>
      <c r="AH436">
        <v>0</v>
      </c>
      <c r="AI436">
        <v>0</v>
      </c>
      <c r="AJ436">
        <v>0</v>
      </c>
      <c r="AK436">
        <v>0</v>
      </c>
      <c r="AL436">
        <v>0</v>
      </c>
      <c r="AM436">
        <v>0</v>
      </c>
      <c r="AN436">
        <v>0</v>
      </c>
      <c r="AO436">
        <v>0</v>
      </c>
      <c r="AP436">
        <v>0</v>
      </c>
      <c r="AQ436">
        <v>0</v>
      </c>
      <c r="AR436">
        <v>0</v>
      </c>
      <c r="AS436">
        <v>0</v>
      </c>
      <c r="AT436">
        <v>0</v>
      </c>
      <c r="AU436">
        <v>0</v>
      </c>
      <c r="AV436">
        <v>0</v>
      </c>
      <c r="AW436">
        <v>0</v>
      </c>
      <c r="AX436">
        <v>0</v>
      </c>
      <c r="AY436">
        <v>0</v>
      </c>
      <c r="AZ436">
        <v>0</v>
      </c>
      <c r="BA436">
        <v>0</v>
      </c>
      <c r="BB436">
        <v>0</v>
      </c>
      <c r="BC436">
        <v>0</v>
      </c>
      <c r="BD436">
        <v>0</v>
      </c>
      <c r="BE436">
        <v>0</v>
      </c>
      <c r="BF436">
        <v>0</v>
      </c>
      <c r="BG436">
        <v>0</v>
      </c>
      <c r="BH436">
        <v>0</v>
      </c>
      <c r="BI436">
        <v>0</v>
      </c>
      <c r="BJ436">
        <v>0</v>
      </c>
      <c r="BK436">
        <v>0</v>
      </c>
      <c r="BL436">
        <v>0</v>
      </c>
      <c r="BM436">
        <v>0</v>
      </c>
      <c r="BN436">
        <v>0</v>
      </c>
      <c r="BO436">
        <v>0</v>
      </c>
      <c r="BP436">
        <v>0</v>
      </c>
      <c r="BQ436">
        <v>0</v>
      </c>
      <c r="BR436">
        <v>0</v>
      </c>
      <c r="BS436">
        <v>0</v>
      </c>
      <c r="BT436">
        <v>0</v>
      </c>
      <c r="BU436">
        <v>0</v>
      </c>
      <c r="BV436">
        <v>0</v>
      </c>
      <c r="BW436">
        <v>0</v>
      </c>
      <c r="BX436">
        <v>0</v>
      </c>
      <c r="BY436">
        <v>0</v>
      </c>
      <c r="BZ436">
        <v>0</v>
      </c>
      <c r="CA436">
        <v>0</v>
      </c>
      <c r="CB436">
        <v>0</v>
      </c>
    </row>
    <row r="437" spans="1:80" x14ac:dyDescent="0.2">
      <c r="A437">
        <v>0</v>
      </c>
      <c r="B437">
        <v>0</v>
      </c>
      <c r="C437">
        <v>0</v>
      </c>
      <c r="D437">
        <v>0</v>
      </c>
      <c r="E437">
        <v>0</v>
      </c>
      <c r="F437">
        <v>0</v>
      </c>
      <c r="G437">
        <v>0</v>
      </c>
      <c r="H437">
        <v>0</v>
      </c>
      <c r="I437">
        <v>0</v>
      </c>
      <c r="J437">
        <v>0</v>
      </c>
      <c r="K437">
        <v>0</v>
      </c>
      <c r="L437">
        <v>0</v>
      </c>
      <c r="M437">
        <v>0</v>
      </c>
      <c r="N437">
        <v>0</v>
      </c>
      <c r="O437">
        <v>0</v>
      </c>
      <c r="P437">
        <v>0</v>
      </c>
      <c r="Q437">
        <v>0</v>
      </c>
      <c r="R437">
        <v>0</v>
      </c>
      <c r="S437">
        <v>0</v>
      </c>
      <c r="T437">
        <v>0</v>
      </c>
      <c r="U437">
        <v>0</v>
      </c>
      <c r="V437">
        <v>0</v>
      </c>
      <c r="W437">
        <v>0</v>
      </c>
      <c r="X437">
        <v>0</v>
      </c>
      <c r="Y437">
        <v>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v>0</v>
      </c>
      <c r="AS437">
        <v>0</v>
      </c>
      <c r="AT437">
        <v>0</v>
      </c>
      <c r="AU437">
        <v>0</v>
      </c>
      <c r="AV437">
        <v>0</v>
      </c>
      <c r="AW437">
        <v>0</v>
      </c>
      <c r="AX437">
        <v>0</v>
      </c>
      <c r="AY437">
        <v>0</v>
      </c>
      <c r="AZ437">
        <v>0</v>
      </c>
      <c r="BA437">
        <v>0</v>
      </c>
      <c r="BB437">
        <v>0</v>
      </c>
      <c r="BC437">
        <v>0</v>
      </c>
      <c r="BD437">
        <v>0</v>
      </c>
      <c r="BE437">
        <v>0</v>
      </c>
      <c r="BF437">
        <v>0</v>
      </c>
      <c r="BG437">
        <v>0</v>
      </c>
      <c r="BH437">
        <v>0</v>
      </c>
      <c r="BI437">
        <v>0</v>
      </c>
      <c r="BJ437">
        <v>0</v>
      </c>
      <c r="BK437">
        <v>0</v>
      </c>
      <c r="BL437">
        <v>0</v>
      </c>
      <c r="BM437">
        <v>0</v>
      </c>
      <c r="BN437">
        <v>0</v>
      </c>
      <c r="BO437">
        <v>0</v>
      </c>
      <c r="BP437">
        <v>0</v>
      </c>
      <c r="BQ437">
        <v>0</v>
      </c>
      <c r="BR437">
        <v>0</v>
      </c>
      <c r="BS437">
        <v>0</v>
      </c>
      <c r="BT437">
        <v>0</v>
      </c>
      <c r="BU437">
        <v>0</v>
      </c>
      <c r="BV437">
        <v>0</v>
      </c>
      <c r="BW437">
        <v>0</v>
      </c>
      <c r="BX437">
        <v>0</v>
      </c>
      <c r="BY437">
        <v>0</v>
      </c>
      <c r="BZ437">
        <v>0</v>
      </c>
      <c r="CA437">
        <v>0</v>
      </c>
      <c r="CB437">
        <v>0</v>
      </c>
    </row>
    <row r="438" spans="1:80" x14ac:dyDescent="0.2">
      <c r="A438">
        <v>0</v>
      </c>
      <c r="B438">
        <v>0</v>
      </c>
      <c r="C438">
        <v>0</v>
      </c>
      <c r="D438">
        <v>0</v>
      </c>
      <c r="E438">
        <v>0</v>
      </c>
      <c r="F438">
        <v>0</v>
      </c>
      <c r="G438">
        <v>0</v>
      </c>
      <c r="H438">
        <v>0</v>
      </c>
      <c r="I438">
        <v>0</v>
      </c>
      <c r="J438">
        <v>0</v>
      </c>
      <c r="K438">
        <v>0</v>
      </c>
      <c r="L438">
        <v>0</v>
      </c>
      <c r="M438">
        <v>0</v>
      </c>
      <c r="N438">
        <v>0</v>
      </c>
      <c r="O438">
        <v>0</v>
      </c>
      <c r="P438">
        <v>0</v>
      </c>
      <c r="Q438">
        <v>0</v>
      </c>
      <c r="R438">
        <v>0</v>
      </c>
      <c r="S438">
        <v>0</v>
      </c>
      <c r="T438">
        <v>0</v>
      </c>
      <c r="U438">
        <v>0</v>
      </c>
      <c r="V438">
        <v>0</v>
      </c>
      <c r="W438">
        <v>0</v>
      </c>
      <c r="X438">
        <v>0</v>
      </c>
      <c r="Y438">
        <v>0</v>
      </c>
      <c r="Z438">
        <v>0</v>
      </c>
      <c r="AA438">
        <v>0</v>
      </c>
      <c r="AB438">
        <v>0</v>
      </c>
      <c r="AC438">
        <v>0</v>
      </c>
      <c r="AD438">
        <v>0</v>
      </c>
      <c r="AE438">
        <v>0</v>
      </c>
      <c r="AF438">
        <v>0</v>
      </c>
      <c r="AG438">
        <v>0</v>
      </c>
      <c r="AH438">
        <v>0</v>
      </c>
      <c r="AI438">
        <v>0</v>
      </c>
      <c r="AJ438">
        <v>0</v>
      </c>
      <c r="AK438">
        <v>0</v>
      </c>
      <c r="AL438">
        <v>0</v>
      </c>
      <c r="AM438">
        <v>0</v>
      </c>
      <c r="AN438">
        <v>0</v>
      </c>
      <c r="AO438">
        <v>0</v>
      </c>
      <c r="AP438">
        <v>0</v>
      </c>
      <c r="AQ438">
        <v>0</v>
      </c>
      <c r="AR438">
        <v>0</v>
      </c>
      <c r="AS438">
        <v>0</v>
      </c>
      <c r="AT438">
        <v>0</v>
      </c>
      <c r="AU438">
        <v>0</v>
      </c>
      <c r="AV438">
        <v>0</v>
      </c>
      <c r="AW438">
        <v>0</v>
      </c>
      <c r="AX438">
        <v>0</v>
      </c>
      <c r="AY438">
        <v>0</v>
      </c>
      <c r="AZ438">
        <v>0</v>
      </c>
      <c r="BA438">
        <v>0</v>
      </c>
      <c r="BB438">
        <v>0</v>
      </c>
      <c r="BC438">
        <v>0</v>
      </c>
      <c r="BD438">
        <v>0</v>
      </c>
      <c r="BE438">
        <v>0</v>
      </c>
      <c r="BF438">
        <v>0</v>
      </c>
      <c r="BG438">
        <v>0</v>
      </c>
      <c r="BH438">
        <v>0</v>
      </c>
      <c r="BI438">
        <v>0</v>
      </c>
      <c r="BJ438">
        <v>0</v>
      </c>
      <c r="BK438">
        <v>0</v>
      </c>
      <c r="BL438">
        <v>0</v>
      </c>
      <c r="BM438">
        <v>0</v>
      </c>
      <c r="BN438">
        <v>0</v>
      </c>
      <c r="BO438">
        <v>0</v>
      </c>
      <c r="BP438">
        <v>0</v>
      </c>
      <c r="BQ438">
        <v>0</v>
      </c>
      <c r="BR438">
        <v>0</v>
      </c>
      <c r="BS438">
        <v>0</v>
      </c>
      <c r="BT438">
        <v>0</v>
      </c>
      <c r="BU438">
        <v>0</v>
      </c>
      <c r="BV438">
        <v>0</v>
      </c>
      <c r="BW438">
        <v>0</v>
      </c>
      <c r="BX438">
        <v>0</v>
      </c>
      <c r="BY438">
        <v>0</v>
      </c>
      <c r="BZ438">
        <v>0</v>
      </c>
      <c r="CA438">
        <v>0</v>
      </c>
      <c r="CB438">
        <v>0</v>
      </c>
    </row>
    <row r="439" spans="1:80" x14ac:dyDescent="0.2">
      <c r="A439">
        <v>0</v>
      </c>
      <c r="B439">
        <v>0</v>
      </c>
      <c r="C439">
        <v>0</v>
      </c>
      <c r="D439">
        <v>0</v>
      </c>
      <c r="E439">
        <v>0</v>
      </c>
      <c r="F439">
        <v>0</v>
      </c>
      <c r="G439">
        <v>0</v>
      </c>
      <c r="H439">
        <v>0</v>
      </c>
      <c r="I439">
        <v>0</v>
      </c>
      <c r="J439">
        <v>0</v>
      </c>
      <c r="K439">
        <v>0</v>
      </c>
      <c r="L439">
        <v>0</v>
      </c>
      <c r="M439">
        <v>0</v>
      </c>
      <c r="N439">
        <v>0</v>
      </c>
      <c r="O439">
        <v>0</v>
      </c>
      <c r="P439">
        <v>0</v>
      </c>
      <c r="Q439">
        <v>0</v>
      </c>
      <c r="R439">
        <v>0</v>
      </c>
      <c r="S439">
        <v>0</v>
      </c>
      <c r="T439">
        <v>0</v>
      </c>
      <c r="U439">
        <v>0</v>
      </c>
      <c r="V439">
        <v>0</v>
      </c>
      <c r="W439">
        <v>0</v>
      </c>
      <c r="X439">
        <v>0</v>
      </c>
      <c r="Y439">
        <v>0</v>
      </c>
      <c r="Z439">
        <v>0</v>
      </c>
      <c r="AA439">
        <v>0</v>
      </c>
      <c r="AB439">
        <v>0</v>
      </c>
      <c r="AC439">
        <v>0</v>
      </c>
      <c r="AD439">
        <v>0</v>
      </c>
      <c r="AE439">
        <v>0</v>
      </c>
      <c r="AF439">
        <v>0</v>
      </c>
      <c r="AG439">
        <v>0</v>
      </c>
      <c r="AH439">
        <v>0</v>
      </c>
      <c r="AI439">
        <v>0</v>
      </c>
      <c r="AJ439">
        <v>0</v>
      </c>
      <c r="AK439">
        <v>0</v>
      </c>
      <c r="AL439">
        <v>0</v>
      </c>
      <c r="AM439">
        <v>0</v>
      </c>
      <c r="AN439">
        <v>0</v>
      </c>
      <c r="AO439">
        <v>0</v>
      </c>
      <c r="AP439">
        <v>0</v>
      </c>
      <c r="AQ439">
        <v>0</v>
      </c>
      <c r="AR439">
        <v>0</v>
      </c>
      <c r="AS439">
        <v>0</v>
      </c>
      <c r="AT439">
        <v>0</v>
      </c>
      <c r="AU439">
        <v>0</v>
      </c>
      <c r="AV439">
        <v>0</v>
      </c>
      <c r="AW439">
        <v>0</v>
      </c>
      <c r="AX439">
        <v>0</v>
      </c>
      <c r="AY439">
        <v>0</v>
      </c>
      <c r="AZ439">
        <v>0</v>
      </c>
      <c r="BA439">
        <v>0</v>
      </c>
      <c r="BB439">
        <v>0</v>
      </c>
      <c r="BC439">
        <v>0</v>
      </c>
      <c r="BD439">
        <v>0</v>
      </c>
      <c r="BE439">
        <v>0</v>
      </c>
      <c r="BF439">
        <v>0</v>
      </c>
      <c r="BG439">
        <v>0</v>
      </c>
      <c r="BH439">
        <v>0</v>
      </c>
      <c r="BI439">
        <v>0</v>
      </c>
      <c r="BJ439">
        <v>0</v>
      </c>
      <c r="BK439">
        <v>0</v>
      </c>
      <c r="BL439">
        <v>0</v>
      </c>
      <c r="BM439">
        <v>0</v>
      </c>
      <c r="BN439">
        <v>0</v>
      </c>
      <c r="BO439">
        <v>0</v>
      </c>
      <c r="BP439">
        <v>0</v>
      </c>
      <c r="BQ439">
        <v>0</v>
      </c>
      <c r="BR439">
        <v>0</v>
      </c>
      <c r="BS439">
        <v>0</v>
      </c>
      <c r="BT439">
        <v>0</v>
      </c>
      <c r="BU439">
        <v>0</v>
      </c>
      <c r="BV439">
        <v>0</v>
      </c>
      <c r="BW439">
        <v>0</v>
      </c>
      <c r="BX439">
        <v>0</v>
      </c>
      <c r="BY439">
        <v>0</v>
      </c>
      <c r="BZ439">
        <v>0</v>
      </c>
      <c r="CA439">
        <v>0</v>
      </c>
      <c r="CB439">
        <v>0</v>
      </c>
    </row>
    <row r="440" spans="1:80" x14ac:dyDescent="0.2">
      <c r="A440">
        <v>0</v>
      </c>
      <c r="B440">
        <v>0</v>
      </c>
      <c r="C440">
        <v>0</v>
      </c>
      <c r="D440">
        <v>0</v>
      </c>
      <c r="E440">
        <v>0</v>
      </c>
      <c r="F440">
        <v>0</v>
      </c>
      <c r="G440">
        <v>0</v>
      </c>
      <c r="H440">
        <v>0</v>
      </c>
      <c r="I440">
        <v>0</v>
      </c>
      <c r="J440">
        <v>0</v>
      </c>
      <c r="K440">
        <v>0</v>
      </c>
      <c r="L440">
        <v>0</v>
      </c>
      <c r="M440">
        <v>0</v>
      </c>
      <c r="N440">
        <v>0</v>
      </c>
      <c r="O440">
        <v>0</v>
      </c>
      <c r="P440">
        <v>0</v>
      </c>
      <c r="Q440">
        <v>0</v>
      </c>
      <c r="R440">
        <v>0</v>
      </c>
      <c r="S440">
        <v>0</v>
      </c>
      <c r="T440">
        <v>0</v>
      </c>
      <c r="U440">
        <v>0</v>
      </c>
      <c r="V440">
        <v>0</v>
      </c>
      <c r="W440">
        <v>0</v>
      </c>
      <c r="X440">
        <v>0</v>
      </c>
      <c r="Y440">
        <v>0</v>
      </c>
      <c r="Z440">
        <v>0</v>
      </c>
      <c r="AA440">
        <v>0</v>
      </c>
      <c r="AB440">
        <v>0</v>
      </c>
      <c r="AC440">
        <v>0</v>
      </c>
      <c r="AD440">
        <v>0</v>
      </c>
      <c r="AE440">
        <v>0</v>
      </c>
      <c r="AF440">
        <v>0</v>
      </c>
      <c r="AG440">
        <v>0</v>
      </c>
      <c r="AH440">
        <v>0</v>
      </c>
      <c r="AI440">
        <v>0</v>
      </c>
      <c r="AJ440">
        <v>0</v>
      </c>
      <c r="AK440">
        <v>0</v>
      </c>
      <c r="AL440">
        <v>0</v>
      </c>
      <c r="AM440">
        <v>0</v>
      </c>
      <c r="AN440">
        <v>0</v>
      </c>
      <c r="AO440">
        <v>0</v>
      </c>
      <c r="AP440">
        <v>0</v>
      </c>
      <c r="AQ440">
        <v>0</v>
      </c>
      <c r="AR440">
        <v>0</v>
      </c>
      <c r="AS440">
        <v>0</v>
      </c>
      <c r="AT440">
        <v>0</v>
      </c>
      <c r="AU440">
        <v>0</v>
      </c>
      <c r="AV440">
        <v>0</v>
      </c>
      <c r="AW440">
        <v>0</v>
      </c>
      <c r="AX440">
        <v>0</v>
      </c>
      <c r="AY440">
        <v>0</v>
      </c>
      <c r="AZ440">
        <v>0</v>
      </c>
      <c r="BA440">
        <v>0</v>
      </c>
      <c r="BB440">
        <v>0</v>
      </c>
      <c r="BC440">
        <v>0</v>
      </c>
      <c r="BD440">
        <v>0</v>
      </c>
      <c r="BE440">
        <v>0</v>
      </c>
      <c r="BF440">
        <v>0</v>
      </c>
      <c r="BG440">
        <v>0</v>
      </c>
      <c r="BH440">
        <v>0</v>
      </c>
      <c r="BI440">
        <v>0</v>
      </c>
      <c r="BJ440">
        <v>0</v>
      </c>
      <c r="BK440">
        <v>0</v>
      </c>
      <c r="BL440">
        <v>0</v>
      </c>
      <c r="BM440">
        <v>0</v>
      </c>
      <c r="BN440">
        <v>0</v>
      </c>
      <c r="BO440">
        <v>0</v>
      </c>
      <c r="BP440">
        <v>0</v>
      </c>
      <c r="BQ440">
        <v>0</v>
      </c>
      <c r="BR440">
        <v>0</v>
      </c>
      <c r="BS440">
        <v>0</v>
      </c>
      <c r="BT440">
        <v>0</v>
      </c>
      <c r="BU440">
        <v>0</v>
      </c>
      <c r="BV440">
        <v>0</v>
      </c>
      <c r="BW440">
        <v>0</v>
      </c>
      <c r="BX440">
        <v>0</v>
      </c>
      <c r="BY440">
        <v>0</v>
      </c>
      <c r="BZ440">
        <v>0</v>
      </c>
      <c r="CA440">
        <v>0</v>
      </c>
      <c r="CB440">
        <v>0</v>
      </c>
    </row>
    <row r="441" spans="1:80" x14ac:dyDescent="0.2">
      <c r="A441">
        <v>0</v>
      </c>
      <c r="B441">
        <v>0</v>
      </c>
      <c r="C441">
        <v>0</v>
      </c>
      <c r="D441">
        <v>0</v>
      </c>
      <c r="E441">
        <v>0</v>
      </c>
      <c r="F441">
        <v>0</v>
      </c>
      <c r="G441">
        <v>0</v>
      </c>
      <c r="H441">
        <v>0</v>
      </c>
      <c r="I441">
        <v>0</v>
      </c>
      <c r="J441">
        <v>0</v>
      </c>
      <c r="K441">
        <v>0</v>
      </c>
      <c r="L441">
        <v>0</v>
      </c>
      <c r="M441">
        <v>0</v>
      </c>
      <c r="N441">
        <v>0</v>
      </c>
      <c r="O441">
        <v>0</v>
      </c>
      <c r="P441">
        <v>0</v>
      </c>
      <c r="Q441">
        <v>0</v>
      </c>
      <c r="R441">
        <v>0</v>
      </c>
      <c r="S441">
        <v>0</v>
      </c>
      <c r="T441">
        <v>0</v>
      </c>
      <c r="U441">
        <v>0</v>
      </c>
      <c r="V441">
        <v>0</v>
      </c>
      <c r="W441">
        <v>0</v>
      </c>
      <c r="X441">
        <v>0</v>
      </c>
      <c r="Y441">
        <v>0</v>
      </c>
      <c r="Z441">
        <v>0</v>
      </c>
      <c r="AA441">
        <v>0</v>
      </c>
      <c r="AB441">
        <v>0</v>
      </c>
      <c r="AC441">
        <v>0</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v>0</v>
      </c>
      <c r="BI441">
        <v>0</v>
      </c>
      <c r="BJ441">
        <v>0</v>
      </c>
      <c r="BK441">
        <v>0</v>
      </c>
      <c r="BL441">
        <v>0</v>
      </c>
      <c r="BM441">
        <v>0</v>
      </c>
      <c r="BN441">
        <v>0</v>
      </c>
      <c r="BO441">
        <v>0</v>
      </c>
      <c r="BP441">
        <v>0</v>
      </c>
      <c r="BQ441">
        <v>0</v>
      </c>
      <c r="BR441">
        <v>0</v>
      </c>
      <c r="BS441">
        <v>0</v>
      </c>
      <c r="BT441">
        <v>0</v>
      </c>
      <c r="BU441">
        <v>0</v>
      </c>
      <c r="BV441">
        <v>0</v>
      </c>
      <c r="BW441">
        <v>0</v>
      </c>
      <c r="BX441">
        <v>0</v>
      </c>
      <c r="BY441">
        <v>0</v>
      </c>
      <c r="BZ441">
        <v>0</v>
      </c>
      <c r="CA441">
        <v>0</v>
      </c>
      <c r="CB441">
        <v>0</v>
      </c>
    </row>
    <row r="442" spans="1:80" x14ac:dyDescent="0.2">
      <c r="A442">
        <v>0</v>
      </c>
      <c r="B442">
        <v>0</v>
      </c>
      <c r="C442">
        <v>0</v>
      </c>
      <c r="D442">
        <v>0</v>
      </c>
      <c r="E442">
        <v>0</v>
      </c>
      <c r="F442">
        <v>0</v>
      </c>
      <c r="G442">
        <v>0</v>
      </c>
      <c r="H442">
        <v>0</v>
      </c>
      <c r="I442">
        <v>0</v>
      </c>
      <c r="J442">
        <v>0</v>
      </c>
      <c r="K442">
        <v>0</v>
      </c>
      <c r="L442">
        <v>0</v>
      </c>
      <c r="M442">
        <v>0</v>
      </c>
      <c r="N442">
        <v>0</v>
      </c>
      <c r="O442">
        <v>0</v>
      </c>
      <c r="P442">
        <v>0</v>
      </c>
      <c r="Q442">
        <v>0</v>
      </c>
      <c r="R442">
        <v>0</v>
      </c>
      <c r="S442">
        <v>0</v>
      </c>
      <c r="T442">
        <v>0</v>
      </c>
      <c r="U442">
        <v>0</v>
      </c>
      <c r="V442">
        <v>0</v>
      </c>
      <c r="W442">
        <v>0</v>
      </c>
      <c r="X442">
        <v>0</v>
      </c>
      <c r="Y442">
        <v>0</v>
      </c>
      <c r="Z442">
        <v>0</v>
      </c>
      <c r="AA442">
        <v>0</v>
      </c>
      <c r="AB442">
        <v>0</v>
      </c>
      <c r="AC442">
        <v>0</v>
      </c>
      <c r="AD442">
        <v>0</v>
      </c>
      <c r="AE442">
        <v>0</v>
      </c>
      <c r="AF442">
        <v>0</v>
      </c>
      <c r="AG442">
        <v>0</v>
      </c>
      <c r="AH442">
        <v>0</v>
      </c>
      <c r="AI442">
        <v>0</v>
      </c>
      <c r="AJ442">
        <v>0</v>
      </c>
      <c r="AK442">
        <v>0</v>
      </c>
      <c r="AL442">
        <v>0</v>
      </c>
      <c r="AM442">
        <v>0</v>
      </c>
      <c r="AN442">
        <v>0</v>
      </c>
      <c r="AO442">
        <v>0</v>
      </c>
      <c r="AP442">
        <v>0</v>
      </c>
      <c r="AQ442">
        <v>0</v>
      </c>
      <c r="AR442">
        <v>0</v>
      </c>
      <c r="AS442">
        <v>0</v>
      </c>
      <c r="AT442">
        <v>0</v>
      </c>
      <c r="AU442">
        <v>0</v>
      </c>
      <c r="AV442">
        <v>0</v>
      </c>
      <c r="AW442">
        <v>0</v>
      </c>
      <c r="AX442">
        <v>0</v>
      </c>
      <c r="AY442">
        <v>0</v>
      </c>
      <c r="AZ442">
        <v>0</v>
      </c>
      <c r="BA442">
        <v>0</v>
      </c>
      <c r="BB442">
        <v>0</v>
      </c>
      <c r="BC442">
        <v>0</v>
      </c>
      <c r="BD442">
        <v>0</v>
      </c>
      <c r="BE442">
        <v>0</v>
      </c>
      <c r="BF442">
        <v>0</v>
      </c>
      <c r="BG442">
        <v>0</v>
      </c>
      <c r="BH442">
        <v>0</v>
      </c>
      <c r="BI442">
        <v>0</v>
      </c>
      <c r="BJ442">
        <v>0</v>
      </c>
      <c r="BK442">
        <v>0</v>
      </c>
      <c r="BL442">
        <v>0</v>
      </c>
      <c r="BM442">
        <v>0</v>
      </c>
      <c r="BN442">
        <v>0</v>
      </c>
      <c r="BO442">
        <v>0</v>
      </c>
      <c r="BP442">
        <v>0</v>
      </c>
      <c r="BQ442">
        <v>0</v>
      </c>
      <c r="BR442">
        <v>0</v>
      </c>
      <c r="BS442">
        <v>0</v>
      </c>
      <c r="BT442">
        <v>0</v>
      </c>
      <c r="BU442">
        <v>0</v>
      </c>
      <c r="BV442">
        <v>0</v>
      </c>
      <c r="BW442">
        <v>0</v>
      </c>
      <c r="BX442">
        <v>0</v>
      </c>
      <c r="BY442">
        <v>0</v>
      </c>
      <c r="BZ442">
        <v>0</v>
      </c>
      <c r="CA442">
        <v>0</v>
      </c>
      <c r="CB442">
        <v>0</v>
      </c>
    </row>
    <row r="443" spans="1:80" x14ac:dyDescent="0.2">
      <c r="A443">
        <v>0</v>
      </c>
      <c r="B443">
        <v>0</v>
      </c>
      <c r="C443">
        <v>0</v>
      </c>
      <c r="D443">
        <v>0</v>
      </c>
      <c r="E443">
        <v>0</v>
      </c>
      <c r="F443">
        <v>0</v>
      </c>
      <c r="G443">
        <v>0</v>
      </c>
      <c r="H443">
        <v>0</v>
      </c>
      <c r="I443">
        <v>0</v>
      </c>
      <c r="J443">
        <v>0</v>
      </c>
      <c r="K443">
        <v>0</v>
      </c>
      <c r="L443">
        <v>0</v>
      </c>
      <c r="M443">
        <v>0</v>
      </c>
      <c r="N443">
        <v>0</v>
      </c>
      <c r="O443">
        <v>0</v>
      </c>
      <c r="P443">
        <v>0</v>
      </c>
      <c r="Q443">
        <v>0</v>
      </c>
      <c r="R443">
        <v>0</v>
      </c>
      <c r="S443">
        <v>0</v>
      </c>
      <c r="T443">
        <v>0</v>
      </c>
      <c r="U443">
        <v>0</v>
      </c>
      <c r="V443">
        <v>0</v>
      </c>
      <c r="W443">
        <v>0</v>
      </c>
      <c r="X443">
        <v>0</v>
      </c>
      <c r="Y443">
        <v>0</v>
      </c>
      <c r="Z443">
        <v>0</v>
      </c>
      <c r="AA443">
        <v>0</v>
      </c>
      <c r="AB443">
        <v>0</v>
      </c>
      <c r="AC443">
        <v>0</v>
      </c>
      <c r="AD443">
        <v>0</v>
      </c>
      <c r="AE443">
        <v>0</v>
      </c>
      <c r="AF443">
        <v>0</v>
      </c>
      <c r="AG443">
        <v>0</v>
      </c>
      <c r="AH443">
        <v>0</v>
      </c>
      <c r="AI443">
        <v>0</v>
      </c>
      <c r="AJ443">
        <v>0</v>
      </c>
      <c r="AK443">
        <v>0</v>
      </c>
      <c r="AL443">
        <v>0</v>
      </c>
      <c r="AM443">
        <v>0</v>
      </c>
      <c r="AN443">
        <v>0</v>
      </c>
      <c r="AO443">
        <v>0</v>
      </c>
      <c r="AP443">
        <v>0</v>
      </c>
      <c r="AQ443">
        <v>0</v>
      </c>
      <c r="AR443">
        <v>0</v>
      </c>
      <c r="AS443">
        <v>0</v>
      </c>
      <c r="AT443">
        <v>0</v>
      </c>
      <c r="AU443">
        <v>0</v>
      </c>
      <c r="AV443">
        <v>0</v>
      </c>
      <c r="AW443">
        <v>0</v>
      </c>
      <c r="AX443">
        <v>0</v>
      </c>
      <c r="AY443">
        <v>0</v>
      </c>
      <c r="AZ443">
        <v>0</v>
      </c>
      <c r="BA443">
        <v>0</v>
      </c>
      <c r="BB443">
        <v>0</v>
      </c>
      <c r="BC443">
        <v>0</v>
      </c>
      <c r="BD443">
        <v>0</v>
      </c>
      <c r="BE443">
        <v>0</v>
      </c>
      <c r="BF443">
        <v>0</v>
      </c>
      <c r="BG443">
        <v>0</v>
      </c>
      <c r="BH443">
        <v>0</v>
      </c>
      <c r="BI443">
        <v>0</v>
      </c>
      <c r="BJ443">
        <v>0</v>
      </c>
      <c r="BK443">
        <v>0</v>
      </c>
      <c r="BL443">
        <v>0</v>
      </c>
      <c r="BM443">
        <v>0</v>
      </c>
      <c r="BN443">
        <v>0</v>
      </c>
      <c r="BO443">
        <v>0</v>
      </c>
      <c r="BP443">
        <v>0</v>
      </c>
      <c r="BQ443">
        <v>0</v>
      </c>
      <c r="BR443">
        <v>0</v>
      </c>
      <c r="BS443">
        <v>0</v>
      </c>
      <c r="BT443">
        <v>0</v>
      </c>
      <c r="BU443">
        <v>0</v>
      </c>
      <c r="BV443">
        <v>0</v>
      </c>
      <c r="BW443">
        <v>0</v>
      </c>
      <c r="BX443">
        <v>0</v>
      </c>
      <c r="BY443">
        <v>0</v>
      </c>
      <c r="BZ443">
        <v>0</v>
      </c>
      <c r="CA443">
        <v>0</v>
      </c>
      <c r="CB443">
        <v>0</v>
      </c>
    </row>
    <row r="444" spans="1:80" x14ac:dyDescent="0.2">
      <c r="A444">
        <v>0</v>
      </c>
      <c r="B444">
        <v>0</v>
      </c>
      <c r="C444">
        <v>0</v>
      </c>
      <c r="D444">
        <v>0</v>
      </c>
      <c r="E444">
        <v>0</v>
      </c>
      <c r="F444">
        <v>0</v>
      </c>
      <c r="G444">
        <v>0</v>
      </c>
      <c r="H444">
        <v>0</v>
      </c>
      <c r="I444">
        <v>0</v>
      </c>
      <c r="J444">
        <v>0</v>
      </c>
      <c r="K444">
        <v>0</v>
      </c>
      <c r="L444">
        <v>0</v>
      </c>
      <c r="M444">
        <v>0</v>
      </c>
      <c r="N444">
        <v>0</v>
      </c>
      <c r="O444">
        <v>0</v>
      </c>
      <c r="P444">
        <v>0</v>
      </c>
      <c r="Q444">
        <v>0</v>
      </c>
      <c r="R444">
        <v>0</v>
      </c>
      <c r="S444">
        <v>0</v>
      </c>
      <c r="T444">
        <v>0</v>
      </c>
      <c r="U444">
        <v>0</v>
      </c>
      <c r="V444">
        <v>0</v>
      </c>
      <c r="W444">
        <v>0</v>
      </c>
      <c r="X444">
        <v>0</v>
      </c>
      <c r="Y444">
        <v>0</v>
      </c>
      <c r="Z444">
        <v>0</v>
      </c>
      <c r="AA444">
        <v>0</v>
      </c>
      <c r="AB444">
        <v>0</v>
      </c>
      <c r="AC444">
        <v>0</v>
      </c>
      <c r="AD444">
        <v>0</v>
      </c>
      <c r="AE444">
        <v>0</v>
      </c>
      <c r="AF444">
        <v>0</v>
      </c>
      <c r="AG444">
        <v>0</v>
      </c>
      <c r="AH444">
        <v>0</v>
      </c>
      <c r="AI444">
        <v>0</v>
      </c>
      <c r="AJ444">
        <v>0</v>
      </c>
      <c r="AK444">
        <v>0</v>
      </c>
      <c r="AL444">
        <v>0</v>
      </c>
      <c r="AM444">
        <v>0</v>
      </c>
      <c r="AN444">
        <v>0</v>
      </c>
      <c r="AO444">
        <v>0</v>
      </c>
      <c r="AP444">
        <v>0</v>
      </c>
      <c r="AQ444">
        <v>0</v>
      </c>
      <c r="AR444">
        <v>0</v>
      </c>
      <c r="AS444">
        <v>0</v>
      </c>
      <c r="AT444">
        <v>0</v>
      </c>
      <c r="AU444">
        <v>0</v>
      </c>
      <c r="AV444">
        <v>0</v>
      </c>
      <c r="AW444">
        <v>0</v>
      </c>
      <c r="AX444">
        <v>0</v>
      </c>
      <c r="AY444">
        <v>0</v>
      </c>
      <c r="AZ444">
        <v>0</v>
      </c>
      <c r="BA444">
        <v>0</v>
      </c>
      <c r="BB444">
        <v>0</v>
      </c>
      <c r="BC444">
        <v>0</v>
      </c>
      <c r="BD444">
        <v>0</v>
      </c>
      <c r="BE444">
        <v>0</v>
      </c>
      <c r="BF444">
        <v>0</v>
      </c>
      <c r="BG444">
        <v>0</v>
      </c>
      <c r="BH444">
        <v>0</v>
      </c>
      <c r="BI444">
        <v>0</v>
      </c>
      <c r="BJ444">
        <v>0</v>
      </c>
      <c r="BK444">
        <v>0</v>
      </c>
      <c r="BL444">
        <v>0</v>
      </c>
      <c r="BM444">
        <v>0</v>
      </c>
      <c r="BN444">
        <v>0</v>
      </c>
      <c r="BO444">
        <v>0</v>
      </c>
      <c r="BP444">
        <v>0</v>
      </c>
      <c r="BQ444">
        <v>0</v>
      </c>
      <c r="BR444">
        <v>0</v>
      </c>
      <c r="BS444">
        <v>0</v>
      </c>
      <c r="BT444">
        <v>0</v>
      </c>
      <c r="BU444">
        <v>0</v>
      </c>
      <c r="BV444">
        <v>0</v>
      </c>
      <c r="BW444">
        <v>0</v>
      </c>
      <c r="BX444">
        <v>0</v>
      </c>
      <c r="BY444">
        <v>0</v>
      </c>
      <c r="BZ444">
        <v>0</v>
      </c>
      <c r="CA444">
        <v>0</v>
      </c>
      <c r="CB444">
        <v>0</v>
      </c>
    </row>
    <row r="445" spans="1:80" x14ac:dyDescent="0.2">
      <c r="A445">
        <v>0</v>
      </c>
      <c r="B445">
        <v>0</v>
      </c>
      <c r="C445">
        <v>0</v>
      </c>
      <c r="D445">
        <v>0</v>
      </c>
      <c r="E445">
        <v>0</v>
      </c>
      <c r="F445">
        <v>0</v>
      </c>
      <c r="G445">
        <v>0</v>
      </c>
      <c r="H445">
        <v>0</v>
      </c>
      <c r="I445">
        <v>0</v>
      </c>
      <c r="J445">
        <v>0</v>
      </c>
      <c r="K445">
        <v>0</v>
      </c>
      <c r="L445">
        <v>0</v>
      </c>
      <c r="M445">
        <v>0</v>
      </c>
      <c r="N445">
        <v>0</v>
      </c>
      <c r="O445">
        <v>0</v>
      </c>
      <c r="P445">
        <v>0</v>
      </c>
      <c r="Q445">
        <v>0</v>
      </c>
      <c r="R445">
        <v>0</v>
      </c>
      <c r="S445">
        <v>0</v>
      </c>
      <c r="T445">
        <v>0</v>
      </c>
      <c r="U445">
        <v>0</v>
      </c>
      <c r="V445">
        <v>0</v>
      </c>
      <c r="W445">
        <v>0</v>
      </c>
      <c r="X445">
        <v>0</v>
      </c>
      <c r="Y445">
        <v>0</v>
      </c>
      <c r="Z445">
        <v>0</v>
      </c>
      <c r="AA445">
        <v>0</v>
      </c>
      <c r="AB445">
        <v>0</v>
      </c>
      <c r="AC445">
        <v>0</v>
      </c>
      <c r="AD445">
        <v>0</v>
      </c>
      <c r="AE445">
        <v>0</v>
      </c>
      <c r="AF445">
        <v>0</v>
      </c>
      <c r="AG445">
        <v>0</v>
      </c>
      <c r="AH445">
        <v>0</v>
      </c>
      <c r="AI445">
        <v>0</v>
      </c>
      <c r="AJ445">
        <v>0</v>
      </c>
      <c r="AK445">
        <v>0</v>
      </c>
      <c r="AL445">
        <v>0</v>
      </c>
      <c r="AM445">
        <v>0</v>
      </c>
      <c r="AN445">
        <v>0</v>
      </c>
      <c r="AO445">
        <v>0</v>
      </c>
      <c r="AP445">
        <v>0</v>
      </c>
      <c r="AQ445">
        <v>0</v>
      </c>
      <c r="AR445">
        <v>0</v>
      </c>
      <c r="AS445">
        <v>0</v>
      </c>
      <c r="AT445">
        <v>0</v>
      </c>
      <c r="AU445">
        <v>0</v>
      </c>
      <c r="AV445">
        <v>0</v>
      </c>
      <c r="AW445">
        <v>0</v>
      </c>
      <c r="AX445">
        <v>0</v>
      </c>
      <c r="AY445">
        <v>0</v>
      </c>
      <c r="AZ445">
        <v>0</v>
      </c>
      <c r="BA445">
        <v>0</v>
      </c>
      <c r="BB445">
        <v>0</v>
      </c>
      <c r="BC445">
        <v>0</v>
      </c>
      <c r="BD445">
        <v>0</v>
      </c>
      <c r="BE445">
        <v>0</v>
      </c>
      <c r="BF445">
        <v>0</v>
      </c>
      <c r="BG445">
        <v>0</v>
      </c>
      <c r="BH445">
        <v>0</v>
      </c>
      <c r="BI445">
        <v>0</v>
      </c>
      <c r="BJ445">
        <v>0</v>
      </c>
      <c r="BK445">
        <v>0</v>
      </c>
      <c r="BL445">
        <v>0</v>
      </c>
      <c r="BM445">
        <v>0</v>
      </c>
      <c r="BN445">
        <v>0</v>
      </c>
      <c r="BO445">
        <v>0</v>
      </c>
      <c r="BP445">
        <v>0</v>
      </c>
      <c r="BQ445">
        <v>0</v>
      </c>
      <c r="BR445">
        <v>0</v>
      </c>
      <c r="BS445">
        <v>0</v>
      </c>
      <c r="BT445">
        <v>0</v>
      </c>
      <c r="BU445">
        <v>0</v>
      </c>
      <c r="BV445">
        <v>0</v>
      </c>
      <c r="BW445">
        <v>0</v>
      </c>
      <c r="BX445">
        <v>0</v>
      </c>
      <c r="BY445">
        <v>0</v>
      </c>
      <c r="BZ445">
        <v>0</v>
      </c>
      <c r="CA445">
        <v>0</v>
      </c>
      <c r="CB445">
        <v>0</v>
      </c>
    </row>
    <row r="446" spans="1:80" x14ac:dyDescent="0.2">
      <c r="A446">
        <v>0</v>
      </c>
      <c r="B446">
        <v>0</v>
      </c>
      <c r="C446">
        <v>0</v>
      </c>
      <c r="D446">
        <v>0</v>
      </c>
      <c r="E446">
        <v>0</v>
      </c>
      <c r="F446">
        <v>0</v>
      </c>
      <c r="G446">
        <v>0</v>
      </c>
      <c r="H446">
        <v>0</v>
      </c>
      <c r="I446">
        <v>0</v>
      </c>
      <c r="J446">
        <v>0</v>
      </c>
      <c r="K446">
        <v>0</v>
      </c>
      <c r="L446">
        <v>0</v>
      </c>
      <c r="M446">
        <v>0</v>
      </c>
      <c r="N446">
        <v>0</v>
      </c>
      <c r="O446">
        <v>0</v>
      </c>
      <c r="P446">
        <v>0</v>
      </c>
      <c r="Q446">
        <v>0</v>
      </c>
      <c r="R446">
        <v>0</v>
      </c>
      <c r="S446">
        <v>0</v>
      </c>
      <c r="T446">
        <v>0</v>
      </c>
      <c r="U446">
        <v>0</v>
      </c>
      <c r="V446">
        <v>0</v>
      </c>
      <c r="W446">
        <v>0</v>
      </c>
      <c r="X446">
        <v>0</v>
      </c>
      <c r="Y446">
        <v>0</v>
      </c>
      <c r="Z446">
        <v>0</v>
      </c>
      <c r="AA446">
        <v>0</v>
      </c>
      <c r="AB446">
        <v>0</v>
      </c>
      <c r="AC446">
        <v>0</v>
      </c>
      <c r="AD446">
        <v>0</v>
      </c>
      <c r="AE446">
        <v>0</v>
      </c>
      <c r="AF446">
        <v>0</v>
      </c>
      <c r="AG446">
        <v>0</v>
      </c>
      <c r="AH446">
        <v>0</v>
      </c>
      <c r="AI446">
        <v>0</v>
      </c>
      <c r="AJ446">
        <v>0</v>
      </c>
      <c r="AK446">
        <v>0</v>
      </c>
      <c r="AL446">
        <v>0</v>
      </c>
      <c r="AM446">
        <v>0</v>
      </c>
      <c r="AN446">
        <v>0</v>
      </c>
      <c r="AO446">
        <v>0</v>
      </c>
      <c r="AP446">
        <v>0</v>
      </c>
      <c r="AQ446">
        <v>0</v>
      </c>
      <c r="AR446">
        <v>0</v>
      </c>
      <c r="AS446">
        <v>0</v>
      </c>
      <c r="AT446">
        <v>0</v>
      </c>
      <c r="AU446">
        <v>0</v>
      </c>
      <c r="AV446">
        <v>0</v>
      </c>
      <c r="AW446">
        <v>0</v>
      </c>
      <c r="AX446">
        <v>0</v>
      </c>
      <c r="AY446">
        <v>0</v>
      </c>
      <c r="AZ446">
        <v>0</v>
      </c>
      <c r="BA446">
        <v>0</v>
      </c>
      <c r="BB446">
        <v>0</v>
      </c>
      <c r="BC446">
        <v>0</v>
      </c>
      <c r="BD446">
        <v>0</v>
      </c>
      <c r="BE446">
        <v>0</v>
      </c>
      <c r="BF446">
        <v>0</v>
      </c>
      <c r="BG446">
        <v>0</v>
      </c>
      <c r="BH446">
        <v>0</v>
      </c>
      <c r="BI446">
        <v>0</v>
      </c>
      <c r="BJ446">
        <v>0</v>
      </c>
      <c r="BK446">
        <v>0</v>
      </c>
      <c r="BL446">
        <v>0</v>
      </c>
      <c r="BM446">
        <v>0</v>
      </c>
      <c r="BN446">
        <v>0</v>
      </c>
      <c r="BO446">
        <v>0</v>
      </c>
      <c r="BP446">
        <v>0</v>
      </c>
      <c r="BQ446">
        <v>0</v>
      </c>
      <c r="BR446">
        <v>0</v>
      </c>
      <c r="BS446">
        <v>0</v>
      </c>
      <c r="BT446">
        <v>0</v>
      </c>
      <c r="BU446">
        <v>0</v>
      </c>
      <c r="BV446">
        <v>0</v>
      </c>
      <c r="BW446">
        <v>0</v>
      </c>
      <c r="BX446">
        <v>0</v>
      </c>
      <c r="BY446">
        <v>0</v>
      </c>
      <c r="BZ446">
        <v>0</v>
      </c>
      <c r="CA446">
        <v>0</v>
      </c>
      <c r="CB446">
        <v>0</v>
      </c>
    </row>
    <row r="447" spans="1:80" x14ac:dyDescent="0.2">
      <c r="A447">
        <v>0</v>
      </c>
      <c r="B447">
        <v>0</v>
      </c>
      <c r="C447">
        <v>0</v>
      </c>
      <c r="D447">
        <v>0</v>
      </c>
      <c r="E447">
        <v>0</v>
      </c>
      <c r="F447">
        <v>0</v>
      </c>
      <c r="G447">
        <v>0</v>
      </c>
      <c r="H447">
        <v>0</v>
      </c>
      <c r="I447">
        <v>0</v>
      </c>
      <c r="J447">
        <v>0</v>
      </c>
      <c r="K447">
        <v>0</v>
      </c>
      <c r="L447">
        <v>0</v>
      </c>
      <c r="M447">
        <v>0</v>
      </c>
      <c r="N447">
        <v>0</v>
      </c>
      <c r="O447">
        <v>0</v>
      </c>
      <c r="P447">
        <v>0</v>
      </c>
      <c r="Q447">
        <v>0</v>
      </c>
      <c r="R447">
        <v>0</v>
      </c>
      <c r="S447">
        <v>0</v>
      </c>
      <c r="T447">
        <v>0</v>
      </c>
      <c r="U447">
        <v>0</v>
      </c>
      <c r="V447">
        <v>0</v>
      </c>
      <c r="W447">
        <v>0</v>
      </c>
      <c r="X447">
        <v>0</v>
      </c>
      <c r="Y447">
        <v>0</v>
      </c>
      <c r="Z447">
        <v>0</v>
      </c>
      <c r="AA447">
        <v>0</v>
      </c>
      <c r="AB447">
        <v>0</v>
      </c>
      <c r="AC447">
        <v>0</v>
      </c>
      <c r="AD447">
        <v>0</v>
      </c>
      <c r="AE447">
        <v>0</v>
      </c>
      <c r="AF447">
        <v>0</v>
      </c>
      <c r="AG447">
        <v>0</v>
      </c>
      <c r="AH447">
        <v>0</v>
      </c>
      <c r="AI447">
        <v>0</v>
      </c>
      <c r="AJ447">
        <v>0</v>
      </c>
      <c r="AK447">
        <v>0</v>
      </c>
      <c r="AL447">
        <v>0</v>
      </c>
      <c r="AM447">
        <v>0</v>
      </c>
      <c r="AN447">
        <v>0</v>
      </c>
      <c r="AO447">
        <v>0</v>
      </c>
      <c r="AP447">
        <v>0</v>
      </c>
      <c r="AQ447">
        <v>0</v>
      </c>
      <c r="AR447">
        <v>0</v>
      </c>
      <c r="AS447">
        <v>0</v>
      </c>
      <c r="AT447">
        <v>0</v>
      </c>
      <c r="AU447">
        <v>0</v>
      </c>
      <c r="AV447">
        <v>0</v>
      </c>
      <c r="AW447">
        <v>0</v>
      </c>
      <c r="AX447">
        <v>0</v>
      </c>
      <c r="AY447">
        <v>0</v>
      </c>
      <c r="AZ447">
        <v>0</v>
      </c>
      <c r="BA447">
        <v>0</v>
      </c>
      <c r="BB447">
        <v>0</v>
      </c>
      <c r="BC447">
        <v>0</v>
      </c>
      <c r="BD447">
        <v>0</v>
      </c>
      <c r="BE447">
        <v>0</v>
      </c>
      <c r="BF447">
        <v>0</v>
      </c>
      <c r="BG447">
        <v>0</v>
      </c>
      <c r="BH447">
        <v>0</v>
      </c>
      <c r="BI447">
        <v>0</v>
      </c>
      <c r="BJ447">
        <v>0</v>
      </c>
      <c r="BK447">
        <v>0</v>
      </c>
      <c r="BL447">
        <v>0</v>
      </c>
      <c r="BM447">
        <v>0</v>
      </c>
      <c r="BN447">
        <v>0</v>
      </c>
      <c r="BO447">
        <v>0</v>
      </c>
      <c r="BP447">
        <v>0</v>
      </c>
      <c r="BQ447">
        <v>0</v>
      </c>
      <c r="BR447">
        <v>0</v>
      </c>
      <c r="BS447">
        <v>0</v>
      </c>
      <c r="BT447">
        <v>0</v>
      </c>
      <c r="BU447">
        <v>0</v>
      </c>
      <c r="BV447">
        <v>0</v>
      </c>
      <c r="BW447">
        <v>0</v>
      </c>
      <c r="BX447">
        <v>0</v>
      </c>
      <c r="BY447">
        <v>0</v>
      </c>
      <c r="BZ447">
        <v>0</v>
      </c>
      <c r="CA447">
        <v>0</v>
      </c>
      <c r="CB447">
        <v>0</v>
      </c>
    </row>
    <row r="448" spans="1:80" x14ac:dyDescent="0.2">
      <c r="A448">
        <v>0</v>
      </c>
      <c r="B448">
        <v>0</v>
      </c>
      <c r="C448">
        <v>0</v>
      </c>
      <c r="D448">
        <v>0</v>
      </c>
      <c r="E448">
        <v>0</v>
      </c>
      <c r="F448">
        <v>0</v>
      </c>
      <c r="G448">
        <v>0</v>
      </c>
      <c r="H448">
        <v>0</v>
      </c>
      <c r="I448">
        <v>0</v>
      </c>
      <c r="J448">
        <v>0</v>
      </c>
      <c r="K448">
        <v>0</v>
      </c>
      <c r="L448">
        <v>0</v>
      </c>
      <c r="M448">
        <v>0</v>
      </c>
      <c r="N448">
        <v>0</v>
      </c>
      <c r="O448">
        <v>0</v>
      </c>
      <c r="P448">
        <v>0</v>
      </c>
      <c r="Q448">
        <v>0</v>
      </c>
      <c r="R448">
        <v>0</v>
      </c>
      <c r="S448">
        <v>0</v>
      </c>
      <c r="T448">
        <v>0</v>
      </c>
      <c r="U448">
        <v>0</v>
      </c>
      <c r="V448">
        <v>0</v>
      </c>
      <c r="W448">
        <v>0</v>
      </c>
      <c r="X448">
        <v>0</v>
      </c>
      <c r="Y448">
        <v>0</v>
      </c>
      <c r="Z448">
        <v>0</v>
      </c>
      <c r="AA448">
        <v>0</v>
      </c>
      <c r="AB448">
        <v>0</v>
      </c>
      <c r="AC448">
        <v>0</v>
      </c>
      <c r="AD448">
        <v>0</v>
      </c>
      <c r="AE448">
        <v>0</v>
      </c>
      <c r="AF448">
        <v>0</v>
      </c>
      <c r="AG448">
        <v>0</v>
      </c>
      <c r="AH448">
        <v>0</v>
      </c>
      <c r="AI448">
        <v>0</v>
      </c>
      <c r="AJ448">
        <v>0</v>
      </c>
      <c r="AK448">
        <v>0</v>
      </c>
      <c r="AL448">
        <v>0</v>
      </c>
      <c r="AM448">
        <v>0</v>
      </c>
      <c r="AN448">
        <v>0</v>
      </c>
      <c r="AO448">
        <v>0</v>
      </c>
      <c r="AP448">
        <v>0</v>
      </c>
      <c r="AQ448">
        <v>0</v>
      </c>
      <c r="AR448">
        <v>0</v>
      </c>
      <c r="AS448">
        <v>0</v>
      </c>
      <c r="AT448">
        <v>0</v>
      </c>
      <c r="AU448">
        <v>0</v>
      </c>
      <c r="AV448">
        <v>0</v>
      </c>
      <c r="AW448">
        <v>0</v>
      </c>
      <c r="AX448">
        <v>0</v>
      </c>
      <c r="AY448">
        <v>0</v>
      </c>
      <c r="AZ448">
        <v>0</v>
      </c>
      <c r="BA448">
        <v>0</v>
      </c>
      <c r="BB448">
        <v>0</v>
      </c>
      <c r="BC448">
        <v>0</v>
      </c>
      <c r="BD448">
        <v>0</v>
      </c>
      <c r="BE448">
        <v>0</v>
      </c>
      <c r="BF448">
        <v>0</v>
      </c>
      <c r="BG448">
        <v>0</v>
      </c>
      <c r="BH448">
        <v>0</v>
      </c>
      <c r="BI448">
        <v>0</v>
      </c>
      <c r="BJ448">
        <v>0</v>
      </c>
      <c r="BK448">
        <v>0</v>
      </c>
      <c r="BL448">
        <v>0</v>
      </c>
      <c r="BM448">
        <v>0</v>
      </c>
      <c r="BN448">
        <v>0</v>
      </c>
      <c r="BO448">
        <v>0</v>
      </c>
      <c r="BP448">
        <v>0</v>
      </c>
      <c r="BQ448">
        <v>0</v>
      </c>
      <c r="BR448">
        <v>0</v>
      </c>
      <c r="BS448">
        <v>0</v>
      </c>
      <c r="BT448">
        <v>0</v>
      </c>
      <c r="BU448">
        <v>0</v>
      </c>
      <c r="BV448">
        <v>0</v>
      </c>
      <c r="BW448">
        <v>0</v>
      </c>
      <c r="BX448">
        <v>0</v>
      </c>
      <c r="BY448">
        <v>0</v>
      </c>
      <c r="BZ448">
        <v>0</v>
      </c>
      <c r="CA448">
        <v>0</v>
      </c>
      <c r="CB448">
        <v>0</v>
      </c>
    </row>
    <row r="449" spans="1:80" x14ac:dyDescent="0.2">
      <c r="A449">
        <v>0</v>
      </c>
      <c r="B449">
        <v>0</v>
      </c>
      <c r="C449">
        <v>0</v>
      </c>
      <c r="D449">
        <v>0</v>
      </c>
      <c r="E449">
        <v>0</v>
      </c>
      <c r="F449">
        <v>0</v>
      </c>
      <c r="G449">
        <v>0</v>
      </c>
      <c r="H449">
        <v>0</v>
      </c>
      <c r="I449">
        <v>0</v>
      </c>
      <c r="J449">
        <v>0</v>
      </c>
      <c r="K449">
        <v>0</v>
      </c>
      <c r="L449">
        <v>0</v>
      </c>
      <c r="M449">
        <v>0</v>
      </c>
      <c r="N449">
        <v>0</v>
      </c>
      <c r="O449">
        <v>0</v>
      </c>
      <c r="P449">
        <v>0</v>
      </c>
      <c r="Q449">
        <v>0</v>
      </c>
      <c r="R449">
        <v>0</v>
      </c>
      <c r="S449">
        <v>0</v>
      </c>
      <c r="T449">
        <v>0</v>
      </c>
      <c r="U449">
        <v>0</v>
      </c>
      <c r="V449">
        <v>0</v>
      </c>
      <c r="W449">
        <v>0</v>
      </c>
      <c r="X449">
        <v>0</v>
      </c>
      <c r="Y449">
        <v>0</v>
      </c>
      <c r="Z449">
        <v>0</v>
      </c>
      <c r="AA449">
        <v>0</v>
      </c>
      <c r="AB449">
        <v>0</v>
      </c>
      <c r="AC449">
        <v>0</v>
      </c>
      <c r="AD449">
        <v>0</v>
      </c>
      <c r="AE449">
        <v>0</v>
      </c>
      <c r="AF449">
        <v>0</v>
      </c>
      <c r="AG449">
        <v>0</v>
      </c>
      <c r="AH449">
        <v>0</v>
      </c>
      <c r="AI449">
        <v>0</v>
      </c>
      <c r="AJ449">
        <v>0</v>
      </c>
      <c r="AK449">
        <v>0</v>
      </c>
      <c r="AL449">
        <v>0</v>
      </c>
      <c r="AM449">
        <v>0</v>
      </c>
      <c r="AN449">
        <v>0</v>
      </c>
      <c r="AO449">
        <v>0</v>
      </c>
      <c r="AP449">
        <v>0</v>
      </c>
      <c r="AQ449">
        <v>0</v>
      </c>
      <c r="AR449">
        <v>0</v>
      </c>
      <c r="AS449">
        <v>0</v>
      </c>
      <c r="AT449">
        <v>0</v>
      </c>
      <c r="AU449">
        <v>0</v>
      </c>
      <c r="AV449">
        <v>0</v>
      </c>
      <c r="AW449">
        <v>0</v>
      </c>
      <c r="AX449">
        <v>0</v>
      </c>
      <c r="AY449">
        <v>0</v>
      </c>
      <c r="AZ449">
        <v>0</v>
      </c>
      <c r="BA449">
        <v>0</v>
      </c>
      <c r="BB449">
        <v>0</v>
      </c>
      <c r="BC449">
        <v>0</v>
      </c>
      <c r="BD449">
        <v>0</v>
      </c>
      <c r="BE449">
        <v>0</v>
      </c>
      <c r="BF449">
        <v>0</v>
      </c>
      <c r="BG449">
        <v>0</v>
      </c>
      <c r="BH449">
        <v>0</v>
      </c>
      <c r="BI449">
        <v>0</v>
      </c>
      <c r="BJ449">
        <v>0</v>
      </c>
      <c r="BK449">
        <v>0</v>
      </c>
      <c r="BL449">
        <v>0</v>
      </c>
      <c r="BM449">
        <v>0</v>
      </c>
      <c r="BN449">
        <v>0</v>
      </c>
      <c r="BO449">
        <v>0</v>
      </c>
      <c r="BP449">
        <v>0</v>
      </c>
      <c r="BQ449">
        <v>0</v>
      </c>
      <c r="BR449">
        <v>0</v>
      </c>
      <c r="BS449">
        <v>0</v>
      </c>
      <c r="BT449">
        <v>0</v>
      </c>
      <c r="BU449">
        <v>0</v>
      </c>
      <c r="BV449">
        <v>0</v>
      </c>
      <c r="BW449">
        <v>0</v>
      </c>
      <c r="BX449">
        <v>0</v>
      </c>
      <c r="BY449">
        <v>0</v>
      </c>
      <c r="BZ449">
        <v>0</v>
      </c>
      <c r="CA449">
        <v>0</v>
      </c>
      <c r="CB449">
        <v>0</v>
      </c>
    </row>
    <row r="450" spans="1:80" x14ac:dyDescent="0.2">
      <c r="A450">
        <v>0</v>
      </c>
      <c r="B450">
        <v>0</v>
      </c>
      <c r="C450">
        <v>0</v>
      </c>
      <c r="D450">
        <v>0</v>
      </c>
      <c r="E450">
        <v>0</v>
      </c>
      <c r="F450">
        <v>0</v>
      </c>
      <c r="G450">
        <v>0</v>
      </c>
      <c r="H450">
        <v>0</v>
      </c>
      <c r="I450">
        <v>0</v>
      </c>
      <c r="J450">
        <v>0</v>
      </c>
      <c r="K450">
        <v>0</v>
      </c>
      <c r="L450">
        <v>0</v>
      </c>
      <c r="M450">
        <v>0</v>
      </c>
      <c r="N450">
        <v>0</v>
      </c>
      <c r="O450">
        <v>0</v>
      </c>
      <c r="P450">
        <v>0</v>
      </c>
      <c r="Q450">
        <v>0</v>
      </c>
      <c r="R450">
        <v>0</v>
      </c>
      <c r="S450">
        <v>0</v>
      </c>
      <c r="T450">
        <v>0</v>
      </c>
      <c r="U450">
        <v>0</v>
      </c>
      <c r="V450">
        <v>0</v>
      </c>
      <c r="W450">
        <v>0</v>
      </c>
      <c r="X450">
        <v>0</v>
      </c>
      <c r="Y450">
        <v>0</v>
      </c>
      <c r="Z450">
        <v>0</v>
      </c>
      <c r="AA450">
        <v>0</v>
      </c>
      <c r="AB450">
        <v>0</v>
      </c>
      <c r="AC450">
        <v>0</v>
      </c>
      <c r="AD450">
        <v>0</v>
      </c>
      <c r="AE450">
        <v>0</v>
      </c>
      <c r="AF450">
        <v>0</v>
      </c>
      <c r="AG450">
        <v>0</v>
      </c>
      <c r="AH450">
        <v>0</v>
      </c>
      <c r="AI450">
        <v>0</v>
      </c>
      <c r="AJ450">
        <v>0</v>
      </c>
      <c r="AK450">
        <v>0</v>
      </c>
      <c r="AL450">
        <v>0</v>
      </c>
      <c r="AM450">
        <v>0</v>
      </c>
      <c r="AN450">
        <v>0</v>
      </c>
      <c r="AO450">
        <v>0</v>
      </c>
      <c r="AP450">
        <v>0</v>
      </c>
      <c r="AQ450">
        <v>0</v>
      </c>
      <c r="AR450">
        <v>0</v>
      </c>
      <c r="AS450">
        <v>0</v>
      </c>
      <c r="AT450">
        <v>0</v>
      </c>
      <c r="AU450">
        <v>0</v>
      </c>
      <c r="AV450">
        <v>0</v>
      </c>
      <c r="AW450">
        <v>0</v>
      </c>
      <c r="AX450">
        <v>0</v>
      </c>
      <c r="AY450">
        <v>0</v>
      </c>
      <c r="AZ450">
        <v>0</v>
      </c>
      <c r="BA450">
        <v>0</v>
      </c>
      <c r="BB450">
        <v>0</v>
      </c>
      <c r="BC450">
        <v>0</v>
      </c>
      <c r="BD450">
        <v>0</v>
      </c>
      <c r="BE450">
        <v>0</v>
      </c>
      <c r="BF450">
        <v>0</v>
      </c>
      <c r="BG450">
        <v>0</v>
      </c>
      <c r="BH450">
        <v>0</v>
      </c>
      <c r="BI450">
        <v>0</v>
      </c>
      <c r="BJ450">
        <v>0</v>
      </c>
      <c r="BK450">
        <v>0</v>
      </c>
      <c r="BL450">
        <v>0</v>
      </c>
      <c r="BM450">
        <v>0</v>
      </c>
      <c r="BN450">
        <v>0</v>
      </c>
      <c r="BO450">
        <v>0</v>
      </c>
      <c r="BP450">
        <v>0</v>
      </c>
      <c r="BQ450">
        <v>0</v>
      </c>
      <c r="BR450">
        <v>0</v>
      </c>
      <c r="BS450">
        <v>0</v>
      </c>
      <c r="BT450">
        <v>0</v>
      </c>
      <c r="BU450">
        <v>0</v>
      </c>
      <c r="BV450">
        <v>0</v>
      </c>
      <c r="BW450">
        <v>0</v>
      </c>
      <c r="BX450">
        <v>0</v>
      </c>
      <c r="BY450">
        <v>0</v>
      </c>
      <c r="BZ450">
        <v>0</v>
      </c>
      <c r="CA450">
        <v>0</v>
      </c>
      <c r="CB450">
        <v>0</v>
      </c>
    </row>
    <row r="451" spans="1:80" x14ac:dyDescent="0.2">
      <c r="A451">
        <v>0</v>
      </c>
      <c r="B451">
        <v>0</v>
      </c>
      <c r="C451">
        <v>0</v>
      </c>
      <c r="D451">
        <v>0</v>
      </c>
      <c r="E451">
        <v>0</v>
      </c>
      <c r="F451">
        <v>0</v>
      </c>
      <c r="G451">
        <v>0</v>
      </c>
      <c r="H451">
        <v>0</v>
      </c>
      <c r="I451">
        <v>0</v>
      </c>
      <c r="J451">
        <v>0</v>
      </c>
      <c r="K451">
        <v>0</v>
      </c>
      <c r="L451">
        <v>0</v>
      </c>
      <c r="M451">
        <v>0</v>
      </c>
      <c r="N451">
        <v>0</v>
      </c>
      <c r="O451">
        <v>0</v>
      </c>
      <c r="P451">
        <v>0</v>
      </c>
      <c r="Q451">
        <v>0</v>
      </c>
      <c r="R451">
        <v>0</v>
      </c>
      <c r="S451">
        <v>0</v>
      </c>
      <c r="T451">
        <v>0</v>
      </c>
      <c r="U451">
        <v>0</v>
      </c>
      <c r="V451">
        <v>0</v>
      </c>
      <c r="W451">
        <v>0</v>
      </c>
      <c r="X451">
        <v>0</v>
      </c>
      <c r="Y451">
        <v>0</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v>0</v>
      </c>
      <c r="AS451">
        <v>0</v>
      </c>
      <c r="AT451">
        <v>0</v>
      </c>
      <c r="AU451">
        <v>0</v>
      </c>
      <c r="AV451">
        <v>0</v>
      </c>
      <c r="AW451">
        <v>0</v>
      </c>
      <c r="AX451">
        <v>0</v>
      </c>
      <c r="AY451">
        <v>0</v>
      </c>
      <c r="AZ451">
        <v>0</v>
      </c>
      <c r="BA451">
        <v>0</v>
      </c>
      <c r="BB451">
        <v>0</v>
      </c>
      <c r="BC451">
        <v>0</v>
      </c>
      <c r="BD451">
        <v>0</v>
      </c>
      <c r="BE451">
        <v>0</v>
      </c>
      <c r="BF451">
        <v>0</v>
      </c>
      <c r="BG451">
        <v>0</v>
      </c>
      <c r="BH451">
        <v>0</v>
      </c>
      <c r="BI451">
        <v>0</v>
      </c>
      <c r="BJ451">
        <v>0</v>
      </c>
      <c r="BK451">
        <v>0</v>
      </c>
      <c r="BL451">
        <v>0</v>
      </c>
      <c r="BM451">
        <v>0</v>
      </c>
      <c r="BN451">
        <v>0</v>
      </c>
      <c r="BO451">
        <v>0</v>
      </c>
      <c r="BP451">
        <v>0</v>
      </c>
      <c r="BQ451">
        <v>0</v>
      </c>
      <c r="BR451">
        <v>0</v>
      </c>
      <c r="BS451">
        <v>0</v>
      </c>
      <c r="BT451">
        <v>0</v>
      </c>
      <c r="BU451">
        <v>0</v>
      </c>
      <c r="BV451">
        <v>0</v>
      </c>
      <c r="BW451">
        <v>0</v>
      </c>
      <c r="BX451">
        <v>0</v>
      </c>
      <c r="BY451">
        <v>0</v>
      </c>
      <c r="BZ451">
        <v>0</v>
      </c>
      <c r="CA451">
        <v>0</v>
      </c>
      <c r="CB451">
        <v>0</v>
      </c>
    </row>
    <row r="452" spans="1:80" x14ac:dyDescent="0.2">
      <c r="A452">
        <v>0</v>
      </c>
      <c r="B452">
        <v>0</v>
      </c>
      <c r="C452">
        <v>0</v>
      </c>
      <c r="D452">
        <v>0</v>
      </c>
      <c r="E452">
        <v>0</v>
      </c>
      <c r="F452">
        <v>0</v>
      </c>
      <c r="G452">
        <v>0</v>
      </c>
      <c r="H452">
        <v>0</v>
      </c>
      <c r="I452">
        <v>0</v>
      </c>
      <c r="J452">
        <v>0</v>
      </c>
      <c r="K452">
        <v>0</v>
      </c>
      <c r="L452">
        <v>0</v>
      </c>
      <c r="M452">
        <v>0</v>
      </c>
      <c r="N452">
        <v>0</v>
      </c>
      <c r="O452">
        <v>0</v>
      </c>
      <c r="P452">
        <v>0</v>
      </c>
      <c r="Q452">
        <v>0</v>
      </c>
      <c r="R452">
        <v>0</v>
      </c>
      <c r="S452">
        <v>0</v>
      </c>
      <c r="T452">
        <v>0</v>
      </c>
      <c r="U452">
        <v>0</v>
      </c>
      <c r="V452">
        <v>0</v>
      </c>
      <c r="W452">
        <v>0</v>
      </c>
      <c r="X452">
        <v>0</v>
      </c>
      <c r="Y452">
        <v>0</v>
      </c>
      <c r="Z452">
        <v>0</v>
      </c>
      <c r="AA452">
        <v>0</v>
      </c>
      <c r="AB452">
        <v>0</v>
      </c>
      <c r="AC452">
        <v>0</v>
      </c>
      <c r="AD452">
        <v>0</v>
      </c>
      <c r="AE452">
        <v>0</v>
      </c>
      <c r="AF452">
        <v>0</v>
      </c>
      <c r="AG452">
        <v>0</v>
      </c>
      <c r="AH452">
        <v>0</v>
      </c>
      <c r="AI452">
        <v>0</v>
      </c>
      <c r="AJ452">
        <v>0</v>
      </c>
      <c r="AK452">
        <v>0</v>
      </c>
      <c r="AL452">
        <v>0</v>
      </c>
      <c r="AM452">
        <v>0</v>
      </c>
      <c r="AN452">
        <v>0</v>
      </c>
      <c r="AO452">
        <v>0</v>
      </c>
      <c r="AP452">
        <v>0</v>
      </c>
      <c r="AQ452">
        <v>0</v>
      </c>
      <c r="AR452">
        <v>0</v>
      </c>
      <c r="AS452">
        <v>0</v>
      </c>
      <c r="AT452">
        <v>0</v>
      </c>
      <c r="AU452">
        <v>0</v>
      </c>
      <c r="AV452">
        <v>0</v>
      </c>
      <c r="AW452">
        <v>0</v>
      </c>
      <c r="AX452">
        <v>0</v>
      </c>
      <c r="AY452">
        <v>0</v>
      </c>
      <c r="AZ452">
        <v>0</v>
      </c>
      <c r="BA452">
        <v>0</v>
      </c>
      <c r="BB452">
        <v>0</v>
      </c>
      <c r="BC452">
        <v>0</v>
      </c>
      <c r="BD452">
        <v>0</v>
      </c>
      <c r="BE452">
        <v>0</v>
      </c>
      <c r="BF452">
        <v>0</v>
      </c>
      <c r="BG452">
        <v>0</v>
      </c>
      <c r="BH452">
        <v>0</v>
      </c>
      <c r="BI452">
        <v>0</v>
      </c>
      <c r="BJ452">
        <v>0</v>
      </c>
      <c r="BK452">
        <v>0</v>
      </c>
      <c r="BL452">
        <v>0</v>
      </c>
      <c r="BM452">
        <v>0</v>
      </c>
      <c r="BN452">
        <v>0</v>
      </c>
      <c r="BO452">
        <v>0</v>
      </c>
      <c r="BP452">
        <v>0</v>
      </c>
      <c r="BQ452">
        <v>0</v>
      </c>
      <c r="BR452">
        <v>0</v>
      </c>
      <c r="BS452">
        <v>0</v>
      </c>
      <c r="BT452">
        <v>0</v>
      </c>
      <c r="BU452">
        <v>0</v>
      </c>
      <c r="BV452">
        <v>0</v>
      </c>
      <c r="BW452">
        <v>0</v>
      </c>
      <c r="BX452">
        <v>0</v>
      </c>
      <c r="BY452">
        <v>0</v>
      </c>
      <c r="BZ452">
        <v>0</v>
      </c>
      <c r="CA452">
        <v>0</v>
      </c>
      <c r="CB452">
        <v>0</v>
      </c>
    </row>
    <row r="453" spans="1:80" x14ac:dyDescent="0.2">
      <c r="A453">
        <v>0</v>
      </c>
      <c r="B453">
        <v>0</v>
      </c>
      <c r="C453">
        <v>0</v>
      </c>
      <c r="D453">
        <v>0</v>
      </c>
      <c r="E453">
        <v>0</v>
      </c>
      <c r="F453">
        <v>0</v>
      </c>
      <c r="G453">
        <v>0</v>
      </c>
      <c r="H453">
        <v>0</v>
      </c>
      <c r="I453">
        <v>0</v>
      </c>
      <c r="J453">
        <v>0</v>
      </c>
      <c r="K453">
        <v>0</v>
      </c>
      <c r="L453">
        <v>0</v>
      </c>
      <c r="M453">
        <v>0</v>
      </c>
      <c r="N453">
        <v>0</v>
      </c>
      <c r="O453">
        <v>0</v>
      </c>
      <c r="P453">
        <v>0</v>
      </c>
      <c r="Q453">
        <v>0</v>
      </c>
      <c r="R453">
        <v>0</v>
      </c>
      <c r="S453">
        <v>0</v>
      </c>
      <c r="T453">
        <v>0</v>
      </c>
      <c r="U453">
        <v>0</v>
      </c>
      <c r="V453">
        <v>0</v>
      </c>
      <c r="W453">
        <v>0</v>
      </c>
      <c r="X453">
        <v>0</v>
      </c>
      <c r="Y453">
        <v>0</v>
      </c>
      <c r="Z453">
        <v>0</v>
      </c>
      <c r="AA453">
        <v>0</v>
      </c>
      <c r="AB453">
        <v>0</v>
      </c>
      <c r="AC453">
        <v>0</v>
      </c>
      <c r="AD453">
        <v>0</v>
      </c>
      <c r="AE453">
        <v>0</v>
      </c>
      <c r="AF453">
        <v>0</v>
      </c>
      <c r="AG453">
        <v>0</v>
      </c>
      <c r="AH453">
        <v>0</v>
      </c>
      <c r="AI453">
        <v>0</v>
      </c>
      <c r="AJ453">
        <v>0</v>
      </c>
      <c r="AK453">
        <v>0</v>
      </c>
      <c r="AL453">
        <v>0</v>
      </c>
      <c r="AM453">
        <v>0</v>
      </c>
      <c r="AN453">
        <v>0</v>
      </c>
      <c r="AO453">
        <v>0</v>
      </c>
      <c r="AP453">
        <v>0</v>
      </c>
      <c r="AQ453">
        <v>0</v>
      </c>
      <c r="AR453">
        <v>0</v>
      </c>
      <c r="AS453">
        <v>0</v>
      </c>
      <c r="AT453">
        <v>0</v>
      </c>
      <c r="AU453">
        <v>0</v>
      </c>
      <c r="AV453">
        <v>0</v>
      </c>
      <c r="AW453">
        <v>0</v>
      </c>
      <c r="AX453">
        <v>0</v>
      </c>
      <c r="AY453">
        <v>0</v>
      </c>
      <c r="AZ453">
        <v>0</v>
      </c>
      <c r="BA453">
        <v>0</v>
      </c>
      <c r="BB453">
        <v>0</v>
      </c>
      <c r="BC453">
        <v>0</v>
      </c>
      <c r="BD453">
        <v>0</v>
      </c>
      <c r="BE453">
        <v>0</v>
      </c>
      <c r="BF453">
        <v>0</v>
      </c>
      <c r="BG453">
        <v>0</v>
      </c>
      <c r="BH453">
        <v>0</v>
      </c>
      <c r="BI453">
        <v>0</v>
      </c>
      <c r="BJ453">
        <v>0</v>
      </c>
      <c r="BK453">
        <v>0</v>
      </c>
      <c r="BL453">
        <v>0</v>
      </c>
      <c r="BM453">
        <v>0</v>
      </c>
      <c r="BN453">
        <v>0</v>
      </c>
      <c r="BO453">
        <v>0</v>
      </c>
      <c r="BP453">
        <v>0</v>
      </c>
      <c r="BQ453">
        <v>0</v>
      </c>
      <c r="BR453">
        <v>0</v>
      </c>
      <c r="BS453">
        <v>0</v>
      </c>
      <c r="BT453">
        <v>0</v>
      </c>
      <c r="BU453">
        <v>0</v>
      </c>
      <c r="BV453">
        <v>0</v>
      </c>
      <c r="BW453">
        <v>0</v>
      </c>
      <c r="BX453">
        <v>0</v>
      </c>
      <c r="BY453">
        <v>0</v>
      </c>
      <c r="BZ453">
        <v>0</v>
      </c>
      <c r="CA453">
        <v>0</v>
      </c>
      <c r="CB453">
        <v>0</v>
      </c>
    </row>
    <row r="454" spans="1:80" x14ac:dyDescent="0.2">
      <c r="A454">
        <v>0</v>
      </c>
      <c r="B454">
        <v>0</v>
      </c>
      <c r="C454">
        <v>0</v>
      </c>
      <c r="D454">
        <v>0</v>
      </c>
      <c r="E454">
        <v>0</v>
      </c>
      <c r="F454">
        <v>0</v>
      </c>
      <c r="G454">
        <v>0</v>
      </c>
      <c r="H454">
        <v>0</v>
      </c>
      <c r="I454">
        <v>0</v>
      </c>
      <c r="J454">
        <v>0</v>
      </c>
      <c r="K454">
        <v>0</v>
      </c>
      <c r="L454">
        <v>0</v>
      </c>
      <c r="M454">
        <v>0</v>
      </c>
      <c r="N454">
        <v>0</v>
      </c>
      <c r="O454">
        <v>0</v>
      </c>
      <c r="P454">
        <v>0</v>
      </c>
      <c r="Q454">
        <v>0</v>
      </c>
      <c r="R454">
        <v>0</v>
      </c>
      <c r="S454">
        <v>0</v>
      </c>
      <c r="T454">
        <v>0</v>
      </c>
      <c r="U454">
        <v>0</v>
      </c>
      <c r="V454">
        <v>0</v>
      </c>
      <c r="W454">
        <v>0</v>
      </c>
      <c r="X454">
        <v>0</v>
      </c>
      <c r="Y454">
        <v>0</v>
      </c>
      <c r="Z454">
        <v>0</v>
      </c>
      <c r="AA454">
        <v>0</v>
      </c>
      <c r="AB454">
        <v>0</v>
      </c>
      <c r="AC454">
        <v>0</v>
      </c>
      <c r="AD454">
        <v>0</v>
      </c>
      <c r="AE454">
        <v>0</v>
      </c>
      <c r="AF454">
        <v>0</v>
      </c>
      <c r="AG454">
        <v>0</v>
      </c>
      <c r="AH454">
        <v>0</v>
      </c>
      <c r="AI454">
        <v>0</v>
      </c>
      <c r="AJ454">
        <v>0</v>
      </c>
      <c r="AK454">
        <v>0</v>
      </c>
      <c r="AL454">
        <v>0</v>
      </c>
      <c r="AM454">
        <v>0</v>
      </c>
      <c r="AN454">
        <v>0</v>
      </c>
      <c r="AO454">
        <v>0</v>
      </c>
      <c r="AP454">
        <v>0</v>
      </c>
      <c r="AQ454">
        <v>0</v>
      </c>
      <c r="AR454">
        <v>0</v>
      </c>
      <c r="AS454">
        <v>0</v>
      </c>
      <c r="AT454">
        <v>0</v>
      </c>
      <c r="AU454">
        <v>0</v>
      </c>
      <c r="AV454">
        <v>0</v>
      </c>
      <c r="AW454">
        <v>0</v>
      </c>
      <c r="AX454">
        <v>0</v>
      </c>
      <c r="AY454">
        <v>0</v>
      </c>
      <c r="AZ454">
        <v>0</v>
      </c>
      <c r="BA454">
        <v>0</v>
      </c>
      <c r="BB454">
        <v>0</v>
      </c>
      <c r="BC454">
        <v>0</v>
      </c>
      <c r="BD454">
        <v>0</v>
      </c>
      <c r="BE454">
        <v>0</v>
      </c>
      <c r="BF454">
        <v>0</v>
      </c>
      <c r="BG454">
        <v>0</v>
      </c>
      <c r="BH454">
        <v>0</v>
      </c>
      <c r="BI454">
        <v>0</v>
      </c>
      <c r="BJ454">
        <v>0</v>
      </c>
      <c r="BK454">
        <v>0</v>
      </c>
      <c r="BL454">
        <v>0</v>
      </c>
      <c r="BM454">
        <v>0</v>
      </c>
      <c r="BN454">
        <v>0</v>
      </c>
      <c r="BO454">
        <v>0</v>
      </c>
      <c r="BP454">
        <v>0</v>
      </c>
      <c r="BQ454">
        <v>0</v>
      </c>
      <c r="BR454">
        <v>0</v>
      </c>
      <c r="BS454">
        <v>0</v>
      </c>
      <c r="BT454">
        <v>0</v>
      </c>
      <c r="BU454">
        <v>0</v>
      </c>
      <c r="BV454">
        <v>0</v>
      </c>
      <c r="BW454">
        <v>0</v>
      </c>
      <c r="BX454">
        <v>0</v>
      </c>
      <c r="BY454">
        <v>0</v>
      </c>
      <c r="BZ454">
        <v>0</v>
      </c>
      <c r="CA454">
        <v>0</v>
      </c>
      <c r="CB454">
        <v>0</v>
      </c>
    </row>
    <row r="455" spans="1:80" x14ac:dyDescent="0.2">
      <c r="A455">
        <v>0</v>
      </c>
      <c r="B455">
        <v>0</v>
      </c>
      <c r="C455">
        <v>0</v>
      </c>
      <c r="D455">
        <v>0</v>
      </c>
      <c r="E455">
        <v>0</v>
      </c>
      <c r="F455">
        <v>0</v>
      </c>
      <c r="G455">
        <v>0</v>
      </c>
      <c r="H455">
        <v>0</v>
      </c>
      <c r="I455">
        <v>0</v>
      </c>
      <c r="J455">
        <v>0</v>
      </c>
      <c r="K455">
        <v>0</v>
      </c>
      <c r="L455">
        <v>0</v>
      </c>
      <c r="M455">
        <v>0</v>
      </c>
      <c r="N455">
        <v>0</v>
      </c>
      <c r="O455">
        <v>0</v>
      </c>
      <c r="P455">
        <v>0</v>
      </c>
      <c r="Q455">
        <v>0</v>
      </c>
      <c r="R455">
        <v>0</v>
      </c>
      <c r="S455">
        <v>0</v>
      </c>
      <c r="T455">
        <v>0</v>
      </c>
      <c r="U455">
        <v>0</v>
      </c>
      <c r="V455">
        <v>0</v>
      </c>
      <c r="W455">
        <v>0</v>
      </c>
      <c r="X455">
        <v>0</v>
      </c>
      <c r="Y455">
        <v>0</v>
      </c>
      <c r="Z455">
        <v>0</v>
      </c>
      <c r="AA455">
        <v>0</v>
      </c>
      <c r="AB455">
        <v>0</v>
      </c>
      <c r="AC455">
        <v>0</v>
      </c>
      <c r="AD455">
        <v>0</v>
      </c>
      <c r="AE455">
        <v>0</v>
      </c>
      <c r="AF455">
        <v>0</v>
      </c>
      <c r="AG455">
        <v>0</v>
      </c>
      <c r="AH455">
        <v>0</v>
      </c>
      <c r="AI455">
        <v>0</v>
      </c>
      <c r="AJ455">
        <v>0</v>
      </c>
      <c r="AK455">
        <v>0</v>
      </c>
      <c r="AL455">
        <v>0</v>
      </c>
      <c r="AM455">
        <v>0</v>
      </c>
      <c r="AN455">
        <v>0</v>
      </c>
      <c r="AO455">
        <v>0</v>
      </c>
      <c r="AP455">
        <v>0</v>
      </c>
      <c r="AQ455">
        <v>0</v>
      </c>
      <c r="AR455">
        <v>0</v>
      </c>
      <c r="AS455">
        <v>0</v>
      </c>
      <c r="AT455">
        <v>0</v>
      </c>
      <c r="AU455">
        <v>0</v>
      </c>
      <c r="AV455">
        <v>0</v>
      </c>
      <c r="AW455">
        <v>0</v>
      </c>
      <c r="AX455">
        <v>0</v>
      </c>
      <c r="AY455">
        <v>0</v>
      </c>
      <c r="AZ455">
        <v>0</v>
      </c>
      <c r="BA455">
        <v>0</v>
      </c>
      <c r="BB455">
        <v>0</v>
      </c>
      <c r="BC455">
        <v>0</v>
      </c>
      <c r="BD455">
        <v>0</v>
      </c>
      <c r="BE455">
        <v>0</v>
      </c>
      <c r="BF455">
        <v>0</v>
      </c>
      <c r="BG455">
        <v>0</v>
      </c>
      <c r="BH455">
        <v>0</v>
      </c>
      <c r="BI455">
        <v>0</v>
      </c>
      <c r="BJ455">
        <v>0</v>
      </c>
      <c r="BK455">
        <v>0</v>
      </c>
      <c r="BL455">
        <v>0</v>
      </c>
      <c r="BM455">
        <v>0</v>
      </c>
      <c r="BN455">
        <v>0</v>
      </c>
      <c r="BO455">
        <v>0</v>
      </c>
      <c r="BP455">
        <v>0</v>
      </c>
      <c r="BQ455">
        <v>0</v>
      </c>
      <c r="BR455">
        <v>0</v>
      </c>
      <c r="BS455">
        <v>0</v>
      </c>
      <c r="BT455">
        <v>0</v>
      </c>
      <c r="BU455">
        <v>0</v>
      </c>
      <c r="BV455">
        <v>0</v>
      </c>
      <c r="BW455">
        <v>0</v>
      </c>
      <c r="BX455">
        <v>0</v>
      </c>
      <c r="BY455">
        <v>0</v>
      </c>
      <c r="BZ455">
        <v>0</v>
      </c>
      <c r="CA455">
        <v>0</v>
      </c>
      <c r="CB455">
        <v>0</v>
      </c>
    </row>
    <row r="456" spans="1:80" x14ac:dyDescent="0.2">
      <c r="A456">
        <v>0</v>
      </c>
      <c r="B456">
        <v>0</v>
      </c>
      <c r="C456">
        <v>0</v>
      </c>
      <c r="D456">
        <v>0</v>
      </c>
      <c r="E456">
        <v>0</v>
      </c>
      <c r="F456">
        <v>0</v>
      </c>
      <c r="G456">
        <v>0</v>
      </c>
      <c r="H456">
        <v>0</v>
      </c>
      <c r="I456">
        <v>0</v>
      </c>
      <c r="J456">
        <v>0</v>
      </c>
      <c r="K456">
        <v>0</v>
      </c>
      <c r="L456">
        <v>0</v>
      </c>
      <c r="M456">
        <v>0</v>
      </c>
      <c r="N456">
        <v>0</v>
      </c>
      <c r="O456">
        <v>0</v>
      </c>
      <c r="P456">
        <v>0</v>
      </c>
      <c r="Q456">
        <v>0</v>
      </c>
      <c r="R456">
        <v>0</v>
      </c>
      <c r="S456">
        <v>0</v>
      </c>
      <c r="T456">
        <v>0</v>
      </c>
      <c r="U456">
        <v>0</v>
      </c>
      <c r="V456">
        <v>0</v>
      </c>
      <c r="W456">
        <v>0</v>
      </c>
      <c r="X456">
        <v>0</v>
      </c>
      <c r="Y456">
        <v>0</v>
      </c>
      <c r="Z456">
        <v>0</v>
      </c>
      <c r="AA456">
        <v>0</v>
      </c>
      <c r="AB456">
        <v>0</v>
      </c>
      <c r="AC456">
        <v>0</v>
      </c>
      <c r="AD456">
        <v>0</v>
      </c>
      <c r="AE456">
        <v>0</v>
      </c>
      <c r="AF456">
        <v>0</v>
      </c>
      <c r="AG456">
        <v>0</v>
      </c>
      <c r="AH456">
        <v>0</v>
      </c>
      <c r="AI456">
        <v>0</v>
      </c>
      <c r="AJ456">
        <v>0</v>
      </c>
      <c r="AK456">
        <v>0</v>
      </c>
      <c r="AL456">
        <v>0</v>
      </c>
      <c r="AM456">
        <v>0</v>
      </c>
      <c r="AN456">
        <v>0</v>
      </c>
      <c r="AO456">
        <v>0</v>
      </c>
      <c r="AP456">
        <v>0</v>
      </c>
      <c r="AQ456">
        <v>0</v>
      </c>
      <c r="AR456">
        <v>0</v>
      </c>
      <c r="AS456">
        <v>0</v>
      </c>
      <c r="AT456">
        <v>0</v>
      </c>
      <c r="AU456">
        <v>0</v>
      </c>
      <c r="AV456">
        <v>0</v>
      </c>
      <c r="AW456">
        <v>0</v>
      </c>
      <c r="AX456">
        <v>0</v>
      </c>
      <c r="AY456">
        <v>0</v>
      </c>
      <c r="AZ456">
        <v>0</v>
      </c>
      <c r="BA456">
        <v>0</v>
      </c>
      <c r="BB456">
        <v>0</v>
      </c>
      <c r="BC456">
        <v>0</v>
      </c>
      <c r="BD456">
        <v>0</v>
      </c>
      <c r="BE456">
        <v>0</v>
      </c>
      <c r="BF456">
        <v>0</v>
      </c>
      <c r="BG456">
        <v>0</v>
      </c>
      <c r="BH456">
        <v>0</v>
      </c>
      <c r="BI456">
        <v>0</v>
      </c>
      <c r="BJ456">
        <v>0</v>
      </c>
      <c r="BK456">
        <v>0</v>
      </c>
      <c r="BL456">
        <v>0</v>
      </c>
      <c r="BM456">
        <v>0</v>
      </c>
      <c r="BN456">
        <v>0</v>
      </c>
      <c r="BO456">
        <v>0</v>
      </c>
      <c r="BP456">
        <v>0</v>
      </c>
      <c r="BQ456">
        <v>0</v>
      </c>
      <c r="BR456">
        <v>0</v>
      </c>
      <c r="BS456">
        <v>0</v>
      </c>
      <c r="BT456">
        <v>0</v>
      </c>
      <c r="BU456">
        <v>0</v>
      </c>
      <c r="BV456">
        <v>0</v>
      </c>
      <c r="BW456">
        <v>0</v>
      </c>
      <c r="BX456">
        <v>0</v>
      </c>
      <c r="BY456">
        <v>0</v>
      </c>
      <c r="BZ456">
        <v>0</v>
      </c>
      <c r="CA456">
        <v>0</v>
      </c>
      <c r="CB456">
        <v>0</v>
      </c>
    </row>
    <row r="457" spans="1:80" x14ac:dyDescent="0.2">
      <c r="A457">
        <v>0</v>
      </c>
      <c r="B457">
        <v>0</v>
      </c>
      <c r="C457">
        <v>0</v>
      </c>
      <c r="D457">
        <v>0</v>
      </c>
      <c r="E457">
        <v>0</v>
      </c>
      <c r="F457">
        <v>0</v>
      </c>
      <c r="G457">
        <v>0</v>
      </c>
      <c r="H457">
        <v>0</v>
      </c>
      <c r="I457">
        <v>0</v>
      </c>
      <c r="J457">
        <v>0</v>
      </c>
      <c r="K457">
        <v>0</v>
      </c>
      <c r="L457">
        <v>0</v>
      </c>
      <c r="M457">
        <v>0</v>
      </c>
      <c r="N457">
        <v>0</v>
      </c>
      <c r="O457">
        <v>0</v>
      </c>
      <c r="P457">
        <v>0</v>
      </c>
      <c r="Q457">
        <v>0</v>
      </c>
      <c r="R457">
        <v>0</v>
      </c>
      <c r="S457">
        <v>0</v>
      </c>
      <c r="T457">
        <v>0</v>
      </c>
      <c r="U457">
        <v>0</v>
      </c>
      <c r="V457">
        <v>0</v>
      </c>
      <c r="W457">
        <v>0</v>
      </c>
      <c r="X457">
        <v>0</v>
      </c>
      <c r="Y457">
        <v>0</v>
      </c>
      <c r="Z457">
        <v>0</v>
      </c>
      <c r="AA457">
        <v>0</v>
      </c>
      <c r="AB457">
        <v>0</v>
      </c>
      <c r="AC457">
        <v>0</v>
      </c>
      <c r="AD457">
        <v>0</v>
      </c>
      <c r="AE457">
        <v>0</v>
      </c>
      <c r="AF457">
        <v>0</v>
      </c>
      <c r="AG457">
        <v>0</v>
      </c>
      <c r="AH457">
        <v>0</v>
      </c>
      <c r="AI457">
        <v>0</v>
      </c>
      <c r="AJ457">
        <v>0</v>
      </c>
      <c r="AK457">
        <v>0</v>
      </c>
      <c r="AL457">
        <v>0</v>
      </c>
      <c r="AM457">
        <v>0</v>
      </c>
      <c r="AN457">
        <v>0</v>
      </c>
      <c r="AO457">
        <v>0</v>
      </c>
      <c r="AP457">
        <v>0</v>
      </c>
      <c r="AQ457">
        <v>0</v>
      </c>
      <c r="AR457">
        <v>0</v>
      </c>
      <c r="AS457">
        <v>0</v>
      </c>
      <c r="AT457">
        <v>0</v>
      </c>
      <c r="AU457">
        <v>0</v>
      </c>
      <c r="AV457">
        <v>0</v>
      </c>
      <c r="AW457">
        <v>0</v>
      </c>
      <c r="AX457">
        <v>0</v>
      </c>
      <c r="AY457">
        <v>0</v>
      </c>
      <c r="AZ457">
        <v>0</v>
      </c>
      <c r="BA457">
        <v>0</v>
      </c>
      <c r="BB457">
        <v>0</v>
      </c>
      <c r="BC457">
        <v>0</v>
      </c>
      <c r="BD457">
        <v>0</v>
      </c>
      <c r="BE457">
        <v>0</v>
      </c>
      <c r="BF457">
        <v>0</v>
      </c>
      <c r="BG457">
        <v>0</v>
      </c>
      <c r="BH457">
        <v>0</v>
      </c>
      <c r="BI457">
        <v>0</v>
      </c>
      <c r="BJ457">
        <v>0</v>
      </c>
      <c r="BK457">
        <v>0</v>
      </c>
      <c r="BL457">
        <v>0</v>
      </c>
      <c r="BM457">
        <v>0</v>
      </c>
      <c r="BN457">
        <v>0</v>
      </c>
      <c r="BO457">
        <v>0</v>
      </c>
      <c r="BP457">
        <v>0</v>
      </c>
      <c r="BQ457">
        <v>0</v>
      </c>
      <c r="BR457">
        <v>0</v>
      </c>
      <c r="BS457">
        <v>0</v>
      </c>
      <c r="BT457">
        <v>0</v>
      </c>
      <c r="BU457">
        <v>0</v>
      </c>
      <c r="BV457">
        <v>0</v>
      </c>
      <c r="BW457">
        <v>0</v>
      </c>
      <c r="BX457">
        <v>0</v>
      </c>
      <c r="BY457">
        <v>0</v>
      </c>
      <c r="BZ457">
        <v>0</v>
      </c>
      <c r="CA457">
        <v>0</v>
      </c>
      <c r="CB457">
        <v>0</v>
      </c>
    </row>
    <row r="458" spans="1:80" x14ac:dyDescent="0.2">
      <c r="A458">
        <v>0</v>
      </c>
      <c r="B458">
        <v>0</v>
      </c>
      <c r="C458">
        <v>0</v>
      </c>
      <c r="D458">
        <v>0</v>
      </c>
      <c r="E458">
        <v>0</v>
      </c>
      <c r="F458">
        <v>0</v>
      </c>
      <c r="G458">
        <v>0</v>
      </c>
      <c r="H458">
        <v>0</v>
      </c>
      <c r="I458">
        <v>0</v>
      </c>
      <c r="J458">
        <v>0</v>
      </c>
      <c r="K458">
        <v>0</v>
      </c>
      <c r="L458">
        <v>0</v>
      </c>
      <c r="M458">
        <v>0</v>
      </c>
      <c r="N458">
        <v>0</v>
      </c>
      <c r="O458">
        <v>0</v>
      </c>
      <c r="P458">
        <v>0</v>
      </c>
      <c r="Q458">
        <v>0</v>
      </c>
      <c r="R458">
        <v>0</v>
      </c>
      <c r="S458">
        <v>0</v>
      </c>
      <c r="T458">
        <v>0</v>
      </c>
      <c r="U458">
        <v>0</v>
      </c>
      <c r="V458">
        <v>0</v>
      </c>
      <c r="W458">
        <v>0</v>
      </c>
      <c r="X458">
        <v>0</v>
      </c>
      <c r="Y458">
        <v>0</v>
      </c>
      <c r="Z458">
        <v>0</v>
      </c>
      <c r="AA458">
        <v>0</v>
      </c>
      <c r="AB458">
        <v>0</v>
      </c>
      <c r="AC458">
        <v>0</v>
      </c>
      <c r="AD458">
        <v>0</v>
      </c>
      <c r="AE458">
        <v>0</v>
      </c>
      <c r="AF458">
        <v>0</v>
      </c>
      <c r="AG458">
        <v>0</v>
      </c>
      <c r="AH458">
        <v>0</v>
      </c>
      <c r="AI458">
        <v>0</v>
      </c>
      <c r="AJ458">
        <v>0</v>
      </c>
      <c r="AK458">
        <v>0</v>
      </c>
      <c r="AL458">
        <v>0</v>
      </c>
      <c r="AM458">
        <v>0</v>
      </c>
      <c r="AN458">
        <v>0</v>
      </c>
      <c r="AO458">
        <v>0</v>
      </c>
      <c r="AP458">
        <v>0</v>
      </c>
      <c r="AQ458">
        <v>0</v>
      </c>
      <c r="AR458">
        <v>0</v>
      </c>
      <c r="AS458">
        <v>0</v>
      </c>
      <c r="AT458">
        <v>0</v>
      </c>
      <c r="AU458">
        <v>0</v>
      </c>
      <c r="AV458">
        <v>0</v>
      </c>
      <c r="AW458">
        <v>0</v>
      </c>
      <c r="AX458">
        <v>0</v>
      </c>
      <c r="AY458">
        <v>0</v>
      </c>
      <c r="AZ458">
        <v>0</v>
      </c>
      <c r="BA458">
        <v>0</v>
      </c>
      <c r="BB458">
        <v>0</v>
      </c>
      <c r="BC458">
        <v>0</v>
      </c>
      <c r="BD458">
        <v>0</v>
      </c>
      <c r="BE458">
        <v>0</v>
      </c>
      <c r="BF458">
        <v>0</v>
      </c>
      <c r="BG458">
        <v>0</v>
      </c>
      <c r="BH458">
        <v>0</v>
      </c>
      <c r="BI458">
        <v>0</v>
      </c>
      <c r="BJ458">
        <v>0</v>
      </c>
      <c r="BK458">
        <v>0</v>
      </c>
      <c r="BL458">
        <v>0</v>
      </c>
      <c r="BM458">
        <v>0</v>
      </c>
      <c r="BN458">
        <v>0</v>
      </c>
      <c r="BO458">
        <v>0</v>
      </c>
      <c r="BP458">
        <v>0</v>
      </c>
      <c r="BQ458">
        <v>0</v>
      </c>
      <c r="BR458">
        <v>0</v>
      </c>
      <c r="BS458">
        <v>0</v>
      </c>
      <c r="BT458">
        <v>0</v>
      </c>
      <c r="BU458">
        <v>0</v>
      </c>
      <c r="BV458">
        <v>0</v>
      </c>
      <c r="BW458">
        <v>0</v>
      </c>
      <c r="BX458">
        <v>0</v>
      </c>
      <c r="BY458">
        <v>0</v>
      </c>
      <c r="BZ458">
        <v>0</v>
      </c>
      <c r="CA458">
        <v>0</v>
      </c>
      <c r="CB458">
        <v>0</v>
      </c>
    </row>
    <row r="459" spans="1:80" x14ac:dyDescent="0.2">
      <c r="A459">
        <v>0</v>
      </c>
      <c r="B459">
        <v>0</v>
      </c>
      <c r="C459">
        <v>0</v>
      </c>
      <c r="D459">
        <v>0</v>
      </c>
      <c r="E459">
        <v>0</v>
      </c>
      <c r="F459">
        <v>0</v>
      </c>
      <c r="G459">
        <v>0</v>
      </c>
      <c r="H459">
        <v>0</v>
      </c>
      <c r="I459">
        <v>0</v>
      </c>
      <c r="J459">
        <v>0</v>
      </c>
      <c r="K459">
        <v>0</v>
      </c>
      <c r="L459">
        <v>0</v>
      </c>
      <c r="M459">
        <v>0</v>
      </c>
      <c r="N459">
        <v>0</v>
      </c>
      <c r="O459">
        <v>0</v>
      </c>
      <c r="P459">
        <v>0</v>
      </c>
      <c r="Q459">
        <v>0</v>
      </c>
      <c r="R459">
        <v>0</v>
      </c>
      <c r="S459">
        <v>0</v>
      </c>
      <c r="T459">
        <v>0</v>
      </c>
      <c r="U459">
        <v>0</v>
      </c>
      <c r="V459">
        <v>0</v>
      </c>
      <c r="W459">
        <v>0</v>
      </c>
      <c r="X459">
        <v>0</v>
      </c>
      <c r="Y459">
        <v>0</v>
      </c>
      <c r="Z459">
        <v>0</v>
      </c>
      <c r="AA459">
        <v>0</v>
      </c>
      <c r="AB459">
        <v>0</v>
      </c>
      <c r="AC459">
        <v>0</v>
      </c>
      <c r="AD459">
        <v>0</v>
      </c>
      <c r="AE459">
        <v>0</v>
      </c>
      <c r="AF459">
        <v>0</v>
      </c>
      <c r="AG459">
        <v>0</v>
      </c>
      <c r="AH459">
        <v>0</v>
      </c>
      <c r="AI459">
        <v>0</v>
      </c>
      <c r="AJ459">
        <v>0</v>
      </c>
      <c r="AK459">
        <v>0</v>
      </c>
      <c r="AL459">
        <v>0</v>
      </c>
      <c r="AM459">
        <v>0</v>
      </c>
      <c r="AN459">
        <v>0</v>
      </c>
      <c r="AO459">
        <v>0</v>
      </c>
      <c r="AP459">
        <v>0</v>
      </c>
      <c r="AQ459">
        <v>0</v>
      </c>
      <c r="AR459">
        <v>0</v>
      </c>
      <c r="AS459">
        <v>0</v>
      </c>
      <c r="AT459">
        <v>0</v>
      </c>
      <c r="AU459">
        <v>0</v>
      </c>
      <c r="AV459">
        <v>0</v>
      </c>
      <c r="AW459">
        <v>0</v>
      </c>
      <c r="AX459">
        <v>0</v>
      </c>
      <c r="AY459">
        <v>0</v>
      </c>
      <c r="AZ459">
        <v>0</v>
      </c>
      <c r="BA459">
        <v>0</v>
      </c>
      <c r="BB459">
        <v>0</v>
      </c>
      <c r="BC459">
        <v>0</v>
      </c>
      <c r="BD459">
        <v>0</v>
      </c>
      <c r="BE459">
        <v>0</v>
      </c>
      <c r="BF459">
        <v>0</v>
      </c>
      <c r="BG459">
        <v>0</v>
      </c>
      <c r="BH459">
        <v>0</v>
      </c>
      <c r="BI459">
        <v>0</v>
      </c>
      <c r="BJ459">
        <v>0</v>
      </c>
      <c r="BK459">
        <v>0</v>
      </c>
      <c r="BL459">
        <v>0</v>
      </c>
      <c r="BM459">
        <v>0</v>
      </c>
      <c r="BN459">
        <v>0</v>
      </c>
      <c r="BO459">
        <v>0</v>
      </c>
      <c r="BP459">
        <v>0</v>
      </c>
      <c r="BQ459">
        <v>0</v>
      </c>
      <c r="BR459">
        <v>0</v>
      </c>
      <c r="BS459">
        <v>0</v>
      </c>
      <c r="BT459">
        <v>0</v>
      </c>
      <c r="BU459">
        <v>0</v>
      </c>
      <c r="BV459">
        <v>0</v>
      </c>
      <c r="BW459">
        <v>0</v>
      </c>
      <c r="BX459">
        <v>0</v>
      </c>
      <c r="BY459">
        <v>0</v>
      </c>
      <c r="BZ459">
        <v>0</v>
      </c>
      <c r="CA459">
        <v>0</v>
      </c>
      <c r="CB459">
        <v>0</v>
      </c>
    </row>
    <row r="460" spans="1:80" x14ac:dyDescent="0.2">
      <c r="A460">
        <v>0</v>
      </c>
      <c r="B460">
        <v>0</v>
      </c>
      <c r="C460">
        <v>0</v>
      </c>
      <c r="D460">
        <v>0</v>
      </c>
      <c r="E460">
        <v>0</v>
      </c>
      <c r="F460">
        <v>0</v>
      </c>
      <c r="G460">
        <v>0</v>
      </c>
      <c r="H460">
        <v>0</v>
      </c>
      <c r="I460">
        <v>0</v>
      </c>
      <c r="J460">
        <v>0</v>
      </c>
      <c r="K460">
        <v>0</v>
      </c>
      <c r="L460">
        <v>0</v>
      </c>
      <c r="M460">
        <v>0</v>
      </c>
      <c r="N460">
        <v>0</v>
      </c>
      <c r="O460">
        <v>0</v>
      </c>
      <c r="P460">
        <v>0</v>
      </c>
      <c r="Q460">
        <v>0</v>
      </c>
      <c r="R460">
        <v>0</v>
      </c>
      <c r="S460">
        <v>0</v>
      </c>
      <c r="T460">
        <v>0</v>
      </c>
      <c r="U460">
        <v>0</v>
      </c>
      <c r="V460">
        <v>0</v>
      </c>
      <c r="W460">
        <v>0</v>
      </c>
      <c r="X460">
        <v>0</v>
      </c>
      <c r="Y460">
        <v>0</v>
      </c>
      <c r="Z460">
        <v>0</v>
      </c>
      <c r="AA460">
        <v>0</v>
      </c>
      <c r="AB460">
        <v>0</v>
      </c>
      <c r="AC460">
        <v>0</v>
      </c>
      <c r="AD460">
        <v>0</v>
      </c>
      <c r="AE460">
        <v>0</v>
      </c>
      <c r="AF460">
        <v>0</v>
      </c>
      <c r="AG460">
        <v>0</v>
      </c>
      <c r="AH460">
        <v>0</v>
      </c>
      <c r="AI460">
        <v>0</v>
      </c>
      <c r="AJ460">
        <v>0</v>
      </c>
      <c r="AK460">
        <v>0</v>
      </c>
      <c r="AL460">
        <v>0</v>
      </c>
      <c r="AM460">
        <v>0</v>
      </c>
      <c r="AN460">
        <v>0</v>
      </c>
      <c r="AO460">
        <v>0</v>
      </c>
      <c r="AP460">
        <v>0</v>
      </c>
      <c r="AQ460">
        <v>0</v>
      </c>
      <c r="AR460">
        <v>0</v>
      </c>
      <c r="AS460">
        <v>0</v>
      </c>
      <c r="AT460">
        <v>0</v>
      </c>
      <c r="AU460">
        <v>0</v>
      </c>
      <c r="AV460">
        <v>0</v>
      </c>
      <c r="AW460">
        <v>0</v>
      </c>
      <c r="AX460">
        <v>0</v>
      </c>
      <c r="AY460">
        <v>0</v>
      </c>
      <c r="AZ460">
        <v>0</v>
      </c>
      <c r="BA460">
        <v>0</v>
      </c>
      <c r="BB460">
        <v>0</v>
      </c>
      <c r="BC460">
        <v>0</v>
      </c>
      <c r="BD460">
        <v>0</v>
      </c>
      <c r="BE460">
        <v>0</v>
      </c>
      <c r="BF460">
        <v>0</v>
      </c>
      <c r="BG460">
        <v>0</v>
      </c>
      <c r="BH460">
        <v>0</v>
      </c>
      <c r="BI460">
        <v>0</v>
      </c>
      <c r="BJ460">
        <v>0</v>
      </c>
      <c r="BK460">
        <v>0</v>
      </c>
      <c r="BL460">
        <v>0</v>
      </c>
      <c r="BM460">
        <v>0</v>
      </c>
      <c r="BN460">
        <v>0</v>
      </c>
      <c r="BO460">
        <v>0</v>
      </c>
      <c r="BP460">
        <v>0</v>
      </c>
      <c r="BQ460">
        <v>0</v>
      </c>
      <c r="BR460">
        <v>0</v>
      </c>
      <c r="BS460">
        <v>0</v>
      </c>
      <c r="BT460">
        <v>0</v>
      </c>
      <c r="BU460">
        <v>0</v>
      </c>
      <c r="BV460">
        <v>0</v>
      </c>
      <c r="BW460">
        <v>0</v>
      </c>
      <c r="BX460">
        <v>0</v>
      </c>
      <c r="BY460">
        <v>0</v>
      </c>
      <c r="BZ460">
        <v>0</v>
      </c>
      <c r="CA460">
        <v>0</v>
      </c>
      <c r="CB460">
        <v>0</v>
      </c>
    </row>
    <row r="461" spans="1:80" x14ac:dyDescent="0.2">
      <c r="A461">
        <v>0</v>
      </c>
      <c r="B461">
        <v>0</v>
      </c>
      <c r="C461">
        <v>0</v>
      </c>
      <c r="D461">
        <v>0</v>
      </c>
      <c r="E461">
        <v>0</v>
      </c>
      <c r="F461">
        <v>0</v>
      </c>
      <c r="G461">
        <v>0</v>
      </c>
      <c r="H461">
        <v>0</v>
      </c>
      <c r="I461">
        <v>0</v>
      </c>
      <c r="J461">
        <v>0</v>
      </c>
      <c r="K461">
        <v>0</v>
      </c>
      <c r="L461">
        <v>0</v>
      </c>
      <c r="M461">
        <v>0</v>
      </c>
      <c r="N461">
        <v>0</v>
      </c>
      <c r="O461">
        <v>0</v>
      </c>
      <c r="P461">
        <v>0</v>
      </c>
      <c r="Q461">
        <v>0</v>
      </c>
      <c r="R461">
        <v>0</v>
      </c>
      <c r="S461">
        <v>0</v>
      </c>
      <c r="T461">
        <v>0</v>
      </c>
      <c r="U461">
        <v>0</v>
      </c>
      <c r="V461">
        <v>0</v>
      </c>
      <c r="W461">
        <v>0</v>
      </c>
      <c r="X461">
        <v>0</v>
      </c>
      <c r="Y461">
        <v>0</v>
      </c>
      <c r="Z461">
        <v>0</v>
      </c>
      <c r="AA461">
        <v>0</v>
      </c>
      <c r="AB461">
        <v>0</v>
      </c>
      <c r="AC461">
        <v>0</v>
      </c>
      <c r="AD461">
        <v>0</v>
      </c>
      <c r="AE461">
        <v>0</v>
      </c>
      <c r="AF461">
        <v>0</v>
      </c>
      <c r="AG461">
        <v>0</v>
      </c>
      <c r="AH461">
        <v>0</v>
      </c>
      <c r="AI461">
        <v>0</v>
      </c>
      <c r="AJ461">
        <v>0</v>
      </c>
      <c r="AK461">
        <v>0</v>
      </c>
      <c r="AL461">
        <v>0</v>
      </c>
      <c r="AM461">
        <v>0</v>
      </c>
      <c r="AN461">
        <v>0</v>
      </c>
      <c r="AO461">
        <v>0</v>
      </c>
      <c r="AP461">
        <v>0</v>
      </c>
      <c r="AQ461">
        <v>0</v>
      </c>
      <c r="AR461">
        <v>0</v>
      </c>
      <c r="AS461">
        <v>0</v>
      </c>
      <c r="AT461">
        <v>0</v>
      </c>
      <c r="AU461">
        <v>0</v>
      </c>
      <c r="AV461">
        <v>0</v>
      </c>
      <c r="AW461">
        <v>0</v>
      </c>
      <c r="AX461">
        <v>0</v>
      </c>
      <c r="AY461">
        <v>0</v>
      </c>
      <c r="AZ461">
        <v>0</v>
      </c>
      <c r="BA461">
        <v>0</v>
      </c>
      <c r="BB461">
        <v>0</v>
      </c>
      <c r="BC461">
        <v>0</v>
      </c>
      <c r="BD461">
        <v>0</v>
      </c>
      <c r="BE461">
        <v>0</v>
      </c>
      <c r="BF461">
        <v>0</v>
      </c>
      <c r="BG461">
        <v>0</v>
      </c>
      <c r="BH461">
        <v>0</v>
      </c>
      <c r="BI461">
        <v>0</v>
      </c>
      <c r="BJ461">
        <v>0</v>
      </c>
      <c r="BK461">
        <v>0</v>
      </c>
      <c r="BL461">
        <v>0</v>
      </c>
      <c r="BM461">
        <v>0</v>
      </c>
      <c r="BN461">
        <v>0</v>
      </c>
      <c r="BO461">
        <v>0</v>
      </c>
      <c r="BP461">
        <v>0</v>
      </c>
      <c r="BQ461">
        <v>0</v>
      </c>
      <c r="BR461">
        <v>0</v>
      </c>
      <c r="BS461">
        <v>0</v>
      </c>
      <c r="BT461">
        <v>0</v>
      </c>
      <c r="BU461">
        <v>0</v>
      </c>
      <c r="BV461">
        <v>0</v>
      </c>
      <c r="BW461">
        <v>0</v>
      </c>
      <c r="BX461">
        <v>0</v>
      </c>
      <c r="BY461">
        <v>0</v>
      </c>
      <c r="BZ461">
        <v>0</v>
      </c>
      <c r="CA461">
        <v>0</v>
      </c>
      <c r="CB461">
        <v>0</v>
      </c>
    </row>
    <row r="462" spans="1:80" x14ac:dyDescent="0.2">
      <c r="A462">
        <v>0</v>
      </c>
      <c r="B462">
        <v>0</v>
      </c>
      <c r="C462">
        <v>0</v>
      </c>
      <c r="D462">
        <v>0</v>
      </c>
      <c r="E462">
        <v>0</v>
      </c>
      <c r="F462">
        <v>0</v>
      </c>
      <c r="G462">
        <v>0</v>
      </c>
      <c r="H462">
        <v>0</v>
      </c>
      <c r="I462">
        <v>0</v>
      </c>
      <c r="J462">
        <v>0</v>
      </c>
      <c r="K462">
        <v>0</v>
      </c>
      <c r="L462">
        <v>0</v>
      </c>
      <c r="M462">
        <v>0</v>
      </c>
      <c r="N462">
        <v>0</v>
      </c>
      <c r="O462">
        <v>0</v>
      </c>
      <c r="P462">
        <v>0</v>
      </c>
      <c r="Q462">
        <v>0</v>
      </c>
      <c r="R462">
        <v>0</v>
      </c>
      <c r="S462">
        <v>0</v>
      </c>
      <c r="T462">
        <v>0</v>
      </c>
      <c r="U462">
        <v>0</v>
      </c>
      <c r="V462">
        <v>0</v>
      </c>
      <c r="W462">
        <v>0</v>
      </c>
      <c r="X462">
        <v>0</v>
      </c>
      <c r="Y462">
        <v>0</v>
      </c>
      <c r="Z462">
        <v>0</v>
      </c>
      <c r="AA462">
        <v>0</v>
      </c>
      <c r="AB462">
        <v>0</v>
      </c>
      <c r="AC462">
        <v>0</v>
      </c>
      <c r="AD462">
        <v>0</v>
      </c>
      <c r="AE462">
        <v>0</v>
      </c>
      <c r="AF462">
        <v>0</v>
      </c>
      <c r="AG462">
        <v>0</v>
      </c>
      <c r="AH462">
        <v>0</v>
      </c>
      <c r="AI462">
        <v>0</v>
      </c>
      <c r="AJ462">
        <v>0</v>
      </c>
      <c r="AK462">
        <v>0</v>
      </c>
      <c r="AL462">
        <v>0</v>
      </c>
      <c r="AM462">
        <v>0</v>
      </c>
      <c r="AN462">
        <v>0</v>
      </c>
      <c r="AO462">
        <v>0</v>
      </c>
      <c r="AP462">
        <v>0</v>
      </c>
      <c r="AQ462">
        <v>0</v>
      </c>
      <c r="AR462">
        <v>0</v>
      </c>
      <c r="AS462">
        <v>0</v>
      </c>
      <c r="AT462">
        <v>0</v>
      </c>
      <c r="AU462">
        <v>0</v>
      </c>
      <c r="AV462">
        <v>0</v>
      </c>
      <c r="AW462">
        <v>0</v>
      </c>
      <c r="AX462">
        <v>0</v>
      </c>
      <c r="AY462">
        <v>0</v>
      </c>
      <c r="AZ462">
        <v>0</v>
      </c>
      <c r="BA462">
        <v>0</v>
      </c>
      <c r="BB462">
        <v>0</v>
      </c>
      <c r="BC462">
        <v>0</v>
      </c>
      <c r="BD462">
        <v>0</v>
      </c>
      <c r="BE462">
        <v>0</v>
      </c>
      <c r="BF462">
        <v>0</v>
      </c>
      <c r="BG462">
        <v>0</v>
      </c>
      <c r="BH462">
        <v>0</v>
      </c>
      <c r="BI462">
        <v>0</v>
      </c>
      <c r="BJ462">
        <v>0</v>
      </c>
      <c r="BK462">
        <v>0</v>
      </c>
      <c r="BL462">
        <v>0</v>
      </c>
      <c r="BM462">
        <v>0</v>
      </c>
      <c r="BN462">
        <v>0</v>
      </c>
      <c r="BO462">
        <v>0</v>
      </c>
      <c r="BP462">
        <v>0</v>
      </c>
      <c r="BQ462">
        <v>0</v>
      </c>
      <c r="BR462">
        <v>0</v>
      </c>
      <c r="BS462">
        <v>0</v>
      </c>
      <c r="BT462">
        <v>0</v>
      </c>
      <c r="BU462">
        <v>0</v>
      </c>
      <c r="BV462">
        <v>0</v>
      </c>
      <c r="BW462">
        <v>0</v>
      </c>
      <c r="BX462">
        <v>0</v>
      </c>
      <c r="BY462">
        <v>0</v>
      </c>
      <c r="BZ462">
        <v>0</v>
      </c>
      <c r="CA462">
        <v>0</v>
      </c>
      <c r="CB462">
        <v>0</v>
      </c>
    </row>
    <row r="463" spans="1:80" x14ac:dyDescent="0.2">
      <c r="A463">
        <v>0</v>
      </c>
      <c r="B463">
        <v>0</v>
      </c>
      <c r="C463">
        <v>0</v>
      </c>
      <c r="D463">
        <v>0</v>
      </c>
      <c r="E463">
        <v>0</v>
      </c>
      <c r="F463">
        <v>0</v>
      </c>
      <c r="G463">
        <v>0</v>
      </c>
      <c r="H463">
        <v>0</v>
      </c>
      <c r="I463">
        <v>0</v>
      </c>
      <c r="J463">
        <v>0</v>
      </c>
      <c r="K463">
        <v>0</v>
      </c>
      <c r="L463">
        <v>0</v>
      </c>
      <c r="M463">
        <v>0</v>
      </c>
      <c r="N463">
        <v>0</v>
      </c>
      <c r="O463">
        <v>0</v>
      </c>
      <c r="P463">
        <v>0</v>
      </c>
      <c r="Q463">
        <v>0</v>
      </c>
      <c r="R463">
        <v>0</v>
      </c>
      <c r="S463">
        <v>0</v>
      </c>
      <c r="T463">
        <v>0</v>
      </c>
      <c r="U463">
        <v>0</v>
      </c>
      <c r="V463">
        <v>0</v>
      </c>
      <c r="W463">
        <v>0</v>
      </c>
      <c r="X463">
        <v>0</v>
      </c>
      <c r="Y463">
        <v>0</v>
      </c>
      <c r="Z463">
        <v>0</v>
      </c>
      <c r="AA463">
        <v>0</v>
      </c>
      <c r="AB463">
        <v>0</v>
      </c>
      <c r="AC463">
        <v>0</v>
      </c>
      <c r="AD463">
        <v>0</v>
      </c>
      <c r="AE463">
        <v>0</v>
      </c>
      <c r="AF463">
        <v>0</v>
      </c>
      <c r="AG463">
        <v>0</v>
      </c>
      <c r="AH463">
        <v>0</v>
      </c>
      <c r="AI463">
        <v>0</v>
      </c>
      <c r="AJ463">
        <v>0</v>
      </c>
      <c r="AK463">
        <v>0</v>
      </c>
      <c r="AL463">
        <v>0</v>
      </c>
      <c r="AM463">
        <v>0</v>
      </c>
      <c r="AN463">
        <v>0</v>
      </c>
      <c r="AO463">
        <v>0</v>
      </c>
      <c r="AP463">
        <v>0</v>
      </c>
      <c r="AQ463">
        <v>0</v>
      </c>
      <c r="AR463">
        <v>0</v>
      </c>
      <c r="AS463">
        <v>0</v>
      </c>
      <c r="AT463">
        <v>0</v>
      </c>
      <c r="AU463">
        <v>0</v>
      </c>
      <c r="AV463">
        <v>0</v>
      </c>
      <c r="AW463">
        <v>0</v>
      </c>
      <c r="AX463">
        <v>0</v>
      </c>
      <c r="AY463">
        <v>0</v>
      </c>
      <c r="AZ463">
        <v>0</v>
      </c>
      <c r="BA463">
        <v>0</v>
      </c>
      <c r="BB463">
        <v>0</v>
      </c>
      <c r="BC463">
        <v>0</v>
      </c>
      <c r="BD463">
        <v>0</v>
      </c>
      <c r="BE463">
        <v>0</v>
      </c>
      <c r="BF463">
        <v>0</v>
      </c>
      <c r="BG463">
        <v>0</v>
      </c>
      <c r="BH463">
        <v>0</v>
      </c>
      <c r="BI463">
        <v>0</v>
      </c>
      <c r="BJ463">
        <v>0</v>
      </c>
      <c r="BK463">
        <v>0</v>
      </c>
      <c r="BL463">
        <v>0</v>
      </c>
      <c r="BM463">
        <v>0</v>
      </c>
      <c r="BN463">
        <v>0</v>
      </c>
      <c r="BO463">
        <v>0</v>
      </c>
      <c r="BP463">
        <v>0</v>
      </c>
      <c r="BQ463">
        <v>0</v>
      </c>
      <c r="BR463">
        <v>0</v>
      </c>
      <c r="BS463">
        <v>0</v>
      </c>
      <c r="BT463">
        <v>0</v>
      </c>
      <c r="BU463">
        <v>0</v>
      </c>
      <c r="BV463">
        <v>0</v>
      </c>
      <c r="BW463">
        <v>0</v>
      </c>
      <c r="BX463">
        <v>0</v>
      </c>
      <c r="BY463">
        <v>0</v>
      </c>
      <c r="BZ463">
        <v>0</v>
      </c>
      <c r="CA463">
        <v>0</v>
      </c>
      <c r="CB463">
        <v>0</v>
      </c>
    </row>
    <row r="464" spans="1:80" x14ac:dyDescent="0.2">
      <c r="A464">
        <v>0</v>
      </c>
      <c r="B464">
        <v>0</v>
      </c>
      <c r="C464">
        <v>0</v>
      </c>
      <c r="D464">
        <v>0</v>
      </c>
      <c r="E464">
        <v>0</v>
      </c>
      <c r="F464">
        <v>0</v>
      </c>
      <c r="G464">
        <v>0</v>
      </c>
      <c r="H464">
        <v>0</v>
      </c>
      <c r="I464">
        <v>0</v>
      </c>
      <c r="J464">
        <v>0</v>
      </c>
      <c r="K464">
        <v>0</v>
      </c>
      <c r="L464">
        <v>0</v>
      </c>
      <c r="M464">
        <v>0</v>
      </c>
      <c r="N464">
        <v>0</v>
      </c>
      <c r="O464">
        <v>0</v>
      </c>
      <c r="P464">
        <v>0</v>
      </c>
      <c r="Q464">
        <v>0</v>
      </c>
      <c r="R464">
        <v>0</v>
      </c>
      <c r="S464">
        <v>0</v>
      </c>
      <c r="T464">
        <v>0</v>
      </c>
      <c r="U464">
        <v>0</v>
      </c>
      <c r="V464">
        <v>0</v>
      </c>
      <c r="W464">
        <v>0</v>
      </c>
      <c r="X464">
        <v>0</v>
      </c>
      <c r="Y464">
        <v>0</v>
      </c>
      <c r="Z464">
        <v>0</v>
      </c>
      <c r="AA464">
        <v>0</v>
      </c>
      <c r="AB464">
        <v>0</v>
      </c>
      <c r="AC464">
        <v>0</v>
      </c>
      <c r="AD464">
        <v>0</v>
      </c>
      <c r="AE464">
        <v>0</v>
      </c>
      <c r="AF464">
        <v>0</v>
      </c>
      <c r="AG464">
        <v>0</v>
      </c>
      <c r="AH464">
        <v>0</v>
      </c>
      <c r="AI464">
        <v>0</v>
      </c>
      <c r="AJ464">
        <v>0</v>
      </c>
      <c r="AK464">
        <v>0</v>
      </c>
      <c r="AL464">
        <v>0</v>
      </c>
      <c r="AM464">
        <v>0</v>
      </c>
      <c r="AN464">
        <v>0</v>
      </c>
      <c r="AO464">
        <v>0</v>
      </c>
      <c r="AP464">
        <v>0</v>
      </c>
      <c r="AQ464">
        <v>0</v>
      </c>
      <c r="AR464">
        <v>0</v>
      </c>
      <c r="AS464">
        <v>0</v>
      </c>
      <c r="AT464">
        <v>0</v>
      </c>
      <c r="AU464">
        <v>0</v>
      </c>
      <c r="AV464">
        <v>0</v>
      </c>
      <c r="AW464">
        <v>0</v>
      </c>
      <c r="AX464">
        <v>0</v>
      </c>
      <c r="AY464">
        <v>0</v>
      </c>
      <c r="AZ464">
        <v>0</v>
      </c>
      <c r="BA464">
        <v>0</v>
      </c>
      <c r="BB464">
        <v>0</v>
      </c>
      <c r="BC464">
        <v>0</v>
      </c>
      <c r="BD464">
        <v>0</v>
      </c>
      <c r="BE464">
        <v>0</v>
      </c>
      <c r="BF464">
        <v>0</v>
      </c>
      <c r="BG464">
        <v>0</v>
      </c>
      <c r="BH464">
        <v>0</v>
      </c>
      <c r="BI464">
        <v>0</v>
      </c>
      <c r="BJ464">
        <v>0</v>
      </c>
      <c r="BK464">
        <v>0</v>
      </c>
      <c r="BL464">
        <v>0</v>
      </c>
      <c r="BM464">
        <v>0</v>
      </c>
      <c r="BN464">
        <v>0</v>
      </c>
      <c r="BO464">
        <v>0</v>
      </c>
      <c r="BP464">
        <v>0</v>
      </c>
      <c r="BQ464">
        <v>0</v>
      </c>
      <c r="BR464">
        <v>0</v>
      </c>
      <c r="BS464">
        <v>0</v>
      </c>
      <c r="BT464">
        <v>0</v>
      </c>
      <c r="BU464">
        <v>0</v>
      </c>
      <c r="BV464">
        <v>0</v>
      </c>
      <c r="BW464">
        <v>0</v>
      </c>
      <c r="BX464">
        <v>0</v>
      </c>
      <c r="BY464">
        <v>0</v>
      </c>
      <c r="BZ464">
        <v>0</v>
      </c>
      <c r="CA464">
        <v>0</v>
      </c>
      <c r="CB464">
        <v>0</v>
      </c>
    </row>
    <row r="465" spans="1:80" x14ac:dyDescent="0.2">
      <c r="A465">
        <v>0</v>
      </c>
      <c r="B465">
        <v>0</v>
      </c>
      <c r="C465">
        <v>0</v>
      </c>
      <c r="D465">
        <v>0</v>
      </c>
      <c r="E465">
        <v>0</v>
      </c>
      <c r="F465">
        <v>0</v>
      </c>
      <c r="G465">
        <v>0</v>
      </c>
      <c r="H465">
        <v>0</v>
      </c>
      <c r="I465">
        <v>0</v>
      </c>
      <c r="J465">
        <v>0</v>
      </c>
      <c r="K465">
        <v>0</v>
      </c>
      <c r="L465">
        <v>0</v>
      </c>
      <c r="M465">
        <v>0</v>
      </c>
      <c r="N465">
        <v>0</v>
      </c>
      <c r="O465">
        <v>0</v>
      </c>
      <c r="P465">
        <v>0</v>
      </c>
      <c r="Q465">
        <v>0</v>
      </c>
      <c r="R465">
        <v>0</v>
      </c>
      <c r="S465">
        <v>0</v>
      </c>
      <c r="T465">
        <v>0</v>
      </c>
      <c r="U465">
        <v>0</v>
      </c>
      <c r="V465">
        <v>0</v>
      </c>
      <c r="W465">
        <v>0</v>
      </c>
      <c r="X465">
        <v>0</v>
      </c>
      <c r="Y465">
        <v>0</v>
      </c>
      <c r="Z465">
        <v>0</v>
      </c>
      <c r="AA465">
        <v>0</v>
      </c>
      <c r="AB465">
        <v>0</v>
      </c>
      <c r="AC465">
        <v>0</v>
      </c>
      <c r="AD465">
        <v>0</v>
      </c>
      <c r="AE465">
        <v>0</v>
      </c>
      <c r="AF465">
        <v>0</v>
      </c>
      <c r="AG465">
        <v>0</v>
      </c>
      <c r="AH465">
        <v>0</v>
      </c>
      <c r="AI465">
        <v>0</v>
      </c>
      <c r="AJ465">
        <v>0</v>
      </c>
      <c r="AK465">
        <v>0</v>
      </c>
      <c r="AL465">
        <v>0</v>
      </c>
      <c r="AM465">
        <v>0</v>
      </c>
      <c r="AN465">
        <v>0</v>
      </c>
      <c r="AO465">
        <v>0</v>
      </c>
      <c r="AP465">
        <v>0</v>
      </c>
      <c r="AQ465">
        <v>0</v>
      </c>
      <c r="AR465">
        <v>0</v>
      </c>
      <c r="AS465">
        <v>0</v>
      </c>
      <c r="AT465">
        <v>0</v>
      </c>
      <c r="AU465">
        <v>0</v>
      </c>
      <c r="AV465">
        <v>0</v>
      </c>
      <c r="AW465">
        <v>0</v>
      </c>
      <c r="AX465">
        <v>0</v>
      </c>
      <c r="AY465">
        <v>0</v>
      </c>
      <c r="AZ465">
        <v>0</v>
      </c>
      <c r="BA465">
        <v>0</v>
      </c>
      <c r="BB465">
        <v>0</v>
      </c>
      <c r="BC465">
        <v>0</v>
      </c>
      <c r="BD465">
        <v>0</v>
      </c>
      <c r="BE465">
        <v>0</v>
      </c>
      <c r="BF465">
        <v>0</v>
      </c>
      <c r="BG465">
        <v>0</v>
      </c>
      <c r="BH465">
        <v>0</v>
      </c>
      <c r="BI465">
        <v>0</v>
      </c>
      <c r="BJ465">
        <v>0</v>
      </c>
      <c r="BK465">
        <v>0</v>
      </c>
      <c r="BL465">
        <v>0</v>
      </c>
      <c r="BM465">
        <v>0</v>
      </c>
      <c r="BN465">
        <v>0</v>
      </c>
      <c r="BO465">
        <v>0</v>
      </c>
      <c r="BP465">
        <v>0</v>
      </c>
      <c r="BQ465">
        <v>0</v>
      </c>
      <c r="BR465">
        <v>0</v>
      </c>
      <c r="BS465">
        <v>0</v>
      </c>
      <c r="BT465">
        <v>0</v>
      </c>
      <c r="BU465">
        <v>0</v>
      </c>
      <c r="BV465">
        <v>0</v>
      </c>
      <c r="BW465">
        <v>0</v>
      </c>
      <c r="BX465">
        <v>0</v>
      </c>
      <c r="BY465">
        <v>0</v>
      </c>
      <c r="BZ465">
        <v>0</v>
      </c>
      <c r="CA465">
        <v>0</v>
      </c>
      <c r="CB465">
        <v>0</v>
      </c>
    </row>
    <row r="466" spans="1:80" x14ac:dyDescent="0.2">
      <c r="A466">
        <v>0</v>
      </c>
      <c r="B466">
        <v>0</v>
      </c>
      <c r="C466">
        <v>0</v>
      </c>
      <c r="D466">
        <v>0</v>
      </c>
      <c r="E466">
        <v>0</v>
      </c>
      <c r="F466">
        <v>0</v>
      </c>
      <c r="G466">
        <v>0</v>
      </c>
      <c r="H466">
        <v>0</v>
      </c>
      <c r="I466">
        <v>0</v>
      </c>
      <c r="J466">
        <v>0</v>
      </c>
      <c r="K466">
        <v>0</v>
      </c>
      <c r="L466">
        <v>0</v>
      </c>
      <c r="M466">
        <v>0</v>
      </c>
      <c r="N466">
        <v>0</v>
      </c>
      <c r="O466">
        <v>0</v>
      </c>
      <c r="P466">
        <v>0</v>
      </c>
      <c r="Q466">
        <v>0</v>
      </c>
      <c r="R466">
        <v>0</v>
      </c>
      <c r="S466">
        <v>0</v>
      </c>
      <c r="T466">
        <v>0</v>
      </c>
      <c r="U466">
        <v>0</v>
      </c>
      <c r="V466">
        <v>0</v>
      </c>
      <c r="W466">
        <v>0</v>
      </c>
      <c r="X466">
        <v>0</v>
      </c>
      <c r="Y466">
        <v>0</v>
      </c>
      <c r="Z466">
        <v>0</v>
      </c>
      <c r="AA466">
        <v>0</v>
      </c>
      <c r="AB466">
        <v>0</v>
      </c>
      <c r="AC466">
        <v>0</v>
      </c>
      <c r="AD466">
        <v>0</v>
      </c>
      <c r="AE466">
        <v>0</v>
      </c>
      <c r="AF466">
        <v>0</v>
      </c>
      <c r="AG466">
        <v>0</v>
      </c>
      <c r="AH466">
        <v>0</v>
      </c>
      <c r="AI466">
        <v>0</v>
      </c>
      <c r="AJ466">
        <v>0</v>
      </c>
      <c r="AK466">
        <v>0</v>
      </c>
      <c r="AL466">
        <v>0</v>
      </c>
      <c r="AM466">
        <v>0</v>
      </c>
      <c r="AN466">
        <v>0</v>
      </c>
      <c r="AO466">
        <v>0</v>
      </c>
      <c r="AP466">
        <v>0</v>
      </c>
      <c r="AQ466">
        <v>0</v>
      </c>
      <c r="AR466">
        <v>0</v>
      </c>
      <c r="AS466">
        <v>0</v>
      </c>
      <c r="AT466">
        <v>0</v>
      </c>
      <c r="AU466">
        <v>0</v>
      </c>
      <c r="AV466">
        <v>0</v>
      </c>
      <c r="AW466">
        <v>0</v>
      </c>
      <c r="AX466">
        <v>0</v>
      </c>
      <c r="AY466">
        <v>0</v>
      </c>
      <c r="AZ466">
        <v>0</v>
      </c>
      <c r="BA466">
        <v>0</v>
      </c>
      <c r="BB466">
        <v>0</v>
      </c>
      <c r="BC466">
        <v>0</v>
      </c>
      <c r="BD466">
        <v>0</v>
      </c>
      <c r="BE466">
        <v>0</v>
      </c>
      <c r="BF466">
        <v>0</v>
      </c>
      <c r="BG466">
        <v>0</v>
      </c>
      <c r="BH466">
        <v>0</v>
      </c>
      <c r="BI466">
        <v>0</v>
      </c>
      <c r="BJ466">
        <v>0</v>
      </c>
      <c r="BK466">
        <v>0</v>
      </c>
      <c r="BL466">
        <v>0</v>
      </c>
      <c r="BM466">
        <v>0</v>
      </c>
      <c r="BN466">
        <v>0</v>
      </c>
      <c r="BO466">
        <v>0</v>
      </c>
      <c r="BP466">
        <v>0</v>
      </c>
      <c r="BQ466">
        <v>0</v>
      </c>
      <c r="BR466">
        <v>0</v>
      </c>
      <c r="BS466">
        <v>0</v>
      </c>
      <c r="BT466">
        <v>0</v>
      </c>
      <c r="BU466">
        <v>0</v>
      </c>
      <c r="BV466">
        <v>0</v>
      </c>
      <c r="BW466">
        <v>0</v>
      </c>
      <c r="BX466">
        <v>0</v>
      </c>
      <c r="BY466">
        <v>0</v>
      </c>
      <c r="BZ466">
        <v>0</v>
      </c>
      <c r="CA466">
        <v>0</v>
      </c>
      <c r="CB466">
        <v>0</v>
      </c>
    </row>
    <row r="467" spans="1:80" x14ac:dyDescent="0.2">
      <c r="A467">
        <v>0</v>
      </c>
      <c r="B467">
        <v>0</v>
      </c>
      <c r="C467">
        <v>0</v>
      </c>
      <c r="D467">
        <v>0</v>
      </c>
      <c r="E467">
        <v>0</v>
      </c>
      <c r="F467">
        <v>0</v>
      </c>
      <c r="G467">
        <v>0</v>
      </c>
      <c r="H467">
        <v>0</v>
      </c>
      <c r="I467">
        <v>0</v>
      </c>
      <c r="J467">
        <v>0</v>
      </c>
      <c r="K467">
        <v>0</v>
      </c>
      <c r="L467">
        <v>0</v>
      </c>
      <c r="M467">
        <v>0</v>
      </c>
      <c r="N467">
        <v>0</v>
      </c>
      <c r="O467">
        <v>0</v>
      </c>
      <c r="P467">
        <v>0</v>
      </c>
      <c r="Q467">
        <v>0</v>
      </c>
      <c r="R467">
        <v>0</v>
      </c>
      <c r="S467">
        <v>0</v>
      </c>
      <c r="T467">
        <v>0</v>
      </c>
      <c r="U467">
        <v>0</v>
      </c>
      <c r="V467">
        <v>0</v>
      </c>
      <c r="W467">
        <v>0</v>
      </c>
      <c r="X467">
        <v>0</v>
      </c>
      <c r="Y467">
        <v>0</v>
      </c>
      <c r="Z467">
        <v>0</v>
      </c>
      <c r="AA467">
        <v>0</v>
      </c>
      <c r="AB467">
        <v>0</v>
      </c>
      <c r="AC467">
        <v>0</v>
      </c>
      <c r="AD467">
        <v>0</v>
      </c>
      <c r="AE467">
        <v>0</v>
      </c>
      <c r="AF467">
        <v>0</v>
      </c>
      <c r="AG467">
        <v>0</v>
      </c>
      <c r="AH467">
        <v>0</v>
      </c>
      <c r="AI467">
        <v>0</v>
      </c>
      <c r="AJ467">
        <v>0</v>
      </c>
      <c r="AK467">
        <v>0</v>
      </c>
      <c r="AL467">
        <v>0</v>
      </c>
      <c r="AM467">
        <v>0</v>
      </c>
      <c r="AN467">
        <v>0</v>
      </c>
      <c r="AO467">
        <v>0</v>
      </c>
      <c r="AP467">
        <v>0</v>
      </c>
      <c r="AQ467">
        <v>0</v>
      </c>
      <c r="AR467">
        <v>0</v>
      </c>
      <c r="AS467">
        <v>0</v>
      </c>
      <c r="AT467">
        <v>0</v>
      </c>
      <c r="AU467">
        <v>0</v>
      </c>
      <c r="AV467">
        <v>0</v>
      </c>
      <c r="AW467">
        <v>0</v>
      </c>
      <c r="AX467">
        <v>0</v>
      </c>
      <c r="AY467">
        <v>0</v>
      </c>
      <c r="AZ467">
        <v>0</v>
      </c>
      <c r="BA467">
        <v>0</v>
      </c>
      <c r="BB467">
        <v>0</v>
      </c>
      <c r="BC467">
        <v>0</v>
      </c>
      <c r="BD467">
        <v>0</v>
      </c>
      <c r="BE467">
        <v>0</v>
      </c>
      <c r="BF467">
        <v>0</v>
      </c>
      <c r="BG467">
        <v>0</v>
      </c>
      <c r="BH467">
        <v>0</v>
      </c>
      <c r="BI467">
        <v>0</v>
      </c>
      <c r="BJ467">
        <v>0</v>
      </c>
      <c r="BK467">
        <v>0</v>
      </c>
      <c r="BL467">
        <v>0</v>
      </c>
      <c r="BM467">
        <v>0</v>
      </c>
      <c r="BN467">
        <v>0</v>
      </c>
      <c r="BO467">
        <v>0</v>
      </c>
      <c r="BP467">
        <v>0</v>
      </c>
      <c r="BQ467">
        <v>0</v>
      </c>
      <c r="BR467">
        <v>0</v>
      </c>
      <c r="BS467">
        <v>0</v>
      </c>
      <c r="BT467">
        <v>0</v>
      </c>
      <c r="BU467">
        <v>0</v>
      </c>
      <c r="BV467">
        <v>0</v>
      </c>
      <c r="BW467">
        <v>0</v>
      </c>
      <c r="BX467">
        <v>0</v>
      </c>
      <c r="BY467">
        <v>0</v>
      </c>
      <c r="BZ467">
        <v>0</v>
      </c>
      <c r="CA467">
        <v>0</v>
      </c>
      <c r="CB467">
        <v>0</v>
      </c>
    </row>
    <row r="468" spans="1:80" x14ac:dyDescent="0.2">
      <c r="A468">
        <v>0</v>
      </c>
      <c r="B468">
        <v>0</v>
      </c>
      <c r="C468">
        <v>0</v>
      </c>
      <c r="D468">
        <v>0</v>
      </c>
      <c r="E468">
        <v>0</v>
      </c>
      <c r="F468">
        <v>0</v>
      </c>
      <c r="G468">
        <v>0</v>
      </c>
      <c r="H468">
        <v>0</v>
      </c>
      <c r="I468">
        <v>0</v>
      </c>
      <c r="J468">
        <v>0</v>
      </c>
      <c r="K468">
        <v>0</v>
      </c>
      <c r="L468">
        <v>0</v>
      </c>
      <c r="M468">
        <v>0</v>
      </c>
      <c r="N468">
        <v>0</v>
      </c>
      <c r="O468">
        <v>0</v>
      </c>
      <c r="P468">
        <v>0</v>
      </c>
      <c r="Q468">
        <v>0</v>
      </c>
      <c r="R468">
        <v>0</v>
      </c>
      <c r="S468">
        <v>0</v>
      </c>
      <c r="T468">
        <v>0</v>
      </c>
      <c r="U468">
        <v>0</v>
      </c>
      <c r="V468">
        <v>0</v>
      </c>
      <c r="W468">
        <v>0</v>
      </c>
      <c r="X468">
        <v>0</v>
      </c>
      <c r="Y468">
        <v>0</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v>0</v>
      </c>
      <c r="AS468">
        <v>0</v>
      </c>
      <c r="AT468">
        <v>0</v>
      </c>
      <c r="AU468">
        <v>0</v>
      </c>
      <c r="AV468">
        <v>0</v>
      </c>
      <c r="AW468">
        <v>0</v>
      </c>
      <c r="AX468">
        <v>0</v>
      </c>
      <c r="AY468">
        <v>0</v>
      </c>
      <c r="AZ468">
        <v>0</v>
      </c>
      <c r="BA468">
        <v>0</v>
      </c>
      <c r="BB468">
        <v>0</v>
      </c>
      <c r="BC468">
        <v>0</v>
      </c>
      <c r="BD468">
        <v>0</v>
      </c>
      <c r="BE468">
        <v>0</v>
      </c>
      <c r="BF468">
        <v>0</v>
      </c>
      <c r="BG468">
        <v>0</v>
      </c>
      <c r="BH468">
        <v>0</v>
      </c>
      <c r="BI468">
        <v>0</v>
      </c>
      <c r="BJ468">
        <v>0</v>
      </c>
      <c r="BK468">
        <v>0</v>
      </c>
      <c r="BL468">
        <v>0</v>
      </c>
      <c r="BM468">
        <v>0</v>
      </c>
      <c r="BN468">
        <v>0</v>
      </c>
      <c r="BO468">
        <v>0</v>
      </c>
      <c r="BP468">
        <v>0</v>
      </c>
      <c r="BQ468">
        <v>0</v>
      </c>
      <c r="BR468">
        <v>0</v>
      </c>
      <c r="BS468">
        <v>0</v>
      </c>
      <c r="BT468">
        <v>0</v>
      </c>
      <c r="BU468">
        <v>0</v>
      </c>
      <c r="BV468">
        <v>0</v>
      </c>
      <c r="BW468">
        <v>0</v>
      </c>
      <c r="BX468">
        <v>0</v>
      </c>
      <c r="BY468">
        <v>0</v>
      </c>
      <c r="BZ468">
        <v>0</v>
      </c>
      <c r="CA468">
        <v>0</v>
      </c>
      <c r="CB468">
        <v>0</v>
      </c>
    </row>
    <row r="469" spans="1:80" x14ac:dyDescent="0.2">
      <c r="A469">
        <v>0</v>
      </c>
      <c r="B469">
        <v>0</v>
      </c>
      <c r="C469">
        <v>0</v>
      </c>
      <c r="D469">
        <v>0</v>
      </c>
      <c r="E469">
        <v>0</v>
      </c>
      <c r="F469">
        <v>0</v>
      </c>
      <c r="G469">
        <v>0</v>
      </c>
      <c r="H469">
        <v>0</v>
      </c>
      <c r="I469">
        <v>0</v>
      </c>
      <c r="J469">
        <v>0</v>
      </c>
      <c r="K469">
        <v>0</v>
      </c>
      <c r="L469">
        <v>0</v>
      </c>
      <c r="M469">
        <v>0</v>
      </c>
      <c r="N469">
        <v>0</v>
      </c>
      <c r="O469">
        <v>0</v>
      </c>
      <c r="P469">
        <v>0</v>
      </c>
      <c r="Q469">
        <v>0</v>
      </c>
      <c r="R469">
        <v>0</v>
      </c>
      <c r="S469">
        <v>0</v>
      </c>
      <c r="T469">
        <v>0</v>
      </c>
      <c r="U469">
        <v>0</v>
      </c>
      <c r="V469">
        <v>0</v>
      </c>
      <c r="W469">
        <v>0</v>
      </c>
      <c r="X469">
        <v>0</v>
      </c>
      <c r="Y469">
        <v>0</v>
      </c>
      <c r="Z469">
        <v>0</v>
      </c>
      <c r="AA469">
        <v>0</v>
      </c>
      <c r="AB469">
        <v>0</v>
      </c>
      <c r="AC469">
        <v>0</v>
      </c>
      <c r="AD469">
        <v>0</v>
      </c>
      <c r="AE469">
        <v>0</v>
      </c>
      <c r="AF469">
        <v>0</v>
      </c>
      <c r="AG469">
        <v>0</v>
      </c>
      <c r="AH469">
        <v>0</v>
      </c>
      <c r="AI469">
        <v>0</v>
      </c>
      <c r="AJ469">
        <v>0</v>
      </c>
      <c r="AK469">
        <v>0</v>
      </c>
      <c r="AL469">
        <v>0</v>
      </c>
      <c r="AM469">
        <v>0</v>
      </c>
      <c r="AN469">
        <v>0</v>
      </c>
      <c r="AO469">
        <v>0</v>
      </c>
      <c r="AP469">
        <v>0</v>
      </c>
      <c r="AQ469">
        <v>0</v>
      </c>
      <c r="AR469">
        <v>0</v>
      </c>
      <c r="AS469">
        <v>0</v>
      </c>
      <c r="AT469">
        <v>0</v>
      </c>
      <c r="AU469">
        <v>0</v>
      </c>
      <c r="AV469">
        <v>0</v>
      </c>
      <c r="AW469">
        <v>0</v>
      </c>
      <c r="AX469">
        <v>0</v>
      </c>
      <c r="AY469">
        <v>0</v>
      </c>
      <c r="AZ469">
        <v>0</v>
      </c>
      <c r="BA469">
        <v>0</v>
      </c>
      <c r="BB469">
        <v>0</v>
      </c>
      <c r="BC469">
        <v>0</v>
      </c>
      <c r="BD469">
        <v>0</v>
      </c>
      <c r="BE469">
        <v>0</v>
      </c>
      <c r="BF469">
        <v>0</v>
      </c>
      <c r="BG469">
        <v>0</v>
      </c>
      <c r="BH469">
        <v>0</v>
      </c>
      <c r="BI469">
        <v>0</v>
      </c>
      <c r="BJ469">
        <v>0</v>
      </c>
      <c r="BK469">
        <v>0</v>
      </c>
      <c r="BL469">
        <v>0</v>
      </c>
      <c r="BM469">
        <v>0</v>
      </c>
      <c r="BN469">
        <v>0</v>
      </c>
      <c r="BO469">
        <v>0</v>
      </c>
      <c r="BP469">
        <v>0</v>
      </c>
      <c r="BQ469">
        <v>0</v>
      </c>
      <c r="BR469">
        <v>0</v>
      </c>
      <c r="BS469">
        <v>0</v>
      </c>
      <c r="BT469">
        <v>0</v>
      </c>
      <c r="BU469">
        <v>0</v>
      </c>
      <c r="BV469">
        <v>0</v>
      </c>
      <c r="BW469">
        <v>0</v>
      </c>
      <c r="BX469">
        <v>0</v>
      </c>
      <c r="BY469">
        <v>0</v>
      </c>
      <c r="BZ469">
        <v>0</v>
      </c>
      <c r="CA469">
        <v>0</v>
      </c>
      <c r="CB469">
        <v>0</v>
      </c>
    </row>
    <row r="470" spans="1:80" x14ac:dyDescent="0.2">
      <c r="A470">
        <v>0</v>
      </c>
      <c r="B470">
        <v>0</v>
      </c>
      <c r="C470">
        <v>0</v>
      </c>
      <c r="D470">
        <v>0</v>
      </c>
      <c r="E470">
        <v>0</v>
      </c>
      <c r="F470">
        <v>0</v>
      </c>
      <c r="G470">
        <v>0</v>
      </c>
      <c r="H470">
        <v>0</v>
      </c>
      <c r="I470">
        <v>0</v>
      </c>
      <c r="J470">
        <v>0</v>
      </c>
      <c r="K470">
        <v>0</v>
      </c>
      <c r="L470">
        <v>0</v>
      </c>
      <c r="M470">
        <v>0</v>
      </c>
      <c r="N470">
        <v>0</v>
      </c>
      <c r="O470">
        <v>0</v>
      </c>
      <c r="P470">
        <v>0</v>
      </c>
      <c r="Q470">
        <v>0</v>
      </c>
      <c r="R470">
        <v>0</v>
      </c>
      <c r="S470">
        <v>0</v>
      </c>
      <c r="T470">
        <v>0</v>
      </c>
      <c r="U470">
        <v>0</v>
      </c>
      <c r="V470">
        <v>0</v>
      </c>
      <c r="W470">
        <v>0</v>
      </c>
      <c r="X470">
        <v>0</v>
      </c>
      <c r="Y470">
        <v>0</v>
      </c>
      <c r="Z470">
        <v>0</v>
      </c>
      <c r="AA470">
        <v>0</v>
      </c>
      <c r="AB470">
        <v>0</v>
      </c>
      <c r="AC470">
        <v>0</v>
      </c>
      <c r="AD470">
        <v>0</v>
      </c>
      <c r="AE470">
        <v>0</v>
      </c>
      <c r="AF470">
        <v>0</v>
      </c>
      <c r="AG470">
        <v>0</v>
      </c>
      <c r="AH470">
        <v>0</v>
      </c>
      <c r="AI470">
        <v>0</v>
      </c>
      <c r="AJ470">
        <v>0</v>
      </c>
      <c r="AK470">
        <v>0</v>
      </c>
      <c r="AL470">
        <v>0</v>
      </c>
      <c r="AM470">
        <v>0</v>
      </c>
      <c r="AN470">
        <v>0</v>
      </c>
      <c r="AO470">
        <v>0</v>
      </c>
      <c r="AP470">
        <v>0</v>
      </c>
      <c r="AQ470">
        <v>0</v>
      </c>
      <c r="AR470">
        <v>0</v>
      </c>
      <c r="AS470">
        <v>0</v>
      </c>
      <c r="AT470">
        <v>0</v>
      </c>
      <c r="AU470">
        <v>0</v>
      </c>
      <c r="AV470">
        <v>0</v>
      </c>
      <c r="AW470">
        <v>0</v>
      </c>
      <c r="AX470">
        <v>0</v>
      </c>
      <c r="AY470">
        <v>0</v>
      </c>
      <c r="AZ470">
        <v>0</v>
      </c>
      <c r="BA470">
        <v>0</v>
      </c>
      <c r="BB470">
        <v>0</v>
      </c>
      <c r="BC470">
        <v>0</v>
      </c>
      <c r="BD470">
        <v>0</v>
      </c>
      <c r="BE470">
        <v>0</v>
      </c>
      <c r="BF470">
        <v>0</v>
      </c>
      <c r="BG470">
        <v>0</v>
      </c>
      <c r="BH470">
        <v>0</v>
      </c>
      <c r="BI470">
        <v>0</v>
      </c>
      <c r="BJ470">
        <v>0</v>
      </c>
      <c r="BK470">
        <v>0</v>
      </c>
      <c r="BL470">
        <v>0</v>
      </c>
      <c r="BM470">
        <v>0</v>
      </c>
      <c r="BN470">
        <v>0</v>
      </c>
      <c r="BO470">
        <v>0</v>
      </c>
      <c r="BP470">
        <v>0</v>
      </c>
      <c r="BQ470">
        <v>0</v>
      </c>
      <c r="BR470">
        <v>0</v>
      </c>
      <c r="BS470">
        <v>0</v>
      </c>
      <c r="BT470">
        <v>0</v>
      </c>
      <c r="BU470">
        <v>0</v>
      </c>
      <c r="BV470">
        <v>0</v>
      </c>
      <c r="BW470">
        <v>0</v>
      </c>
      <c r="BX470">
        <v>0</v>
      </c>
      <c r="BY470">
        <v>0</v>
      </c>
      <c r="BZ470">
        <v>0</v>
      </c>
      <c r="CA470">
        <v>0</v>
      </c>
      <c r="CB470">
        <v>0</v>
      </c>
    </row>
    <row r="471" spans="1:80" x14ac:dyDescent="0.2">
      <c r="A471">
        <v>0</v>
      </c>
      <c r="B471">
        <v>0</v>
      </c>
      <c r="C471">
        <v>0</v>
      </c>
      <c r="D471">
        <v>0</v>
      </c>
      <c r="E471">
        <v>0</v>
      </c>
      <c r="F471">
        <v>0</v>
      </c>
      <c r="G471">
        <v>0</v>
      </c>
      <c r="H471">
        <v>0</v>
      </c>
      <c r="I471">
        <v>0</v>
      </c>
      <c r="J471">
        <v>0</v>
      </c>
      <c r="K471">
        <v>0</v>
      </c>
      <c r="L471">
        <v>0</v>
      </c>
      <c r="M471">
        <v>0</v>
      </c>
      <c r="N471">
        <v>0</v>
      </c>
      <c r="O471">
        <v>0</v>
      </c>
      <c r="P471">
        <v>0</v>
      </c>
      <c r="Q471">
        <v>0</v>
      </c>
      <c r="R471">
        <v>0</v>
      </c>
      <c r="S471">
        <v>0</v>
      </c>
      <c r="T471">
        <v>0</v>
      </c>
      <c r="U471">
        <v>0</v>
      </c>
      <c r="V471">
        <v>0</v>
      </c>
      <c r="W471">
        <v>0</v>
      </c>
      <c r="X471">
        <v>0</v>
      </c>
      <c r="Y471">
        <v>0</v>
      </c>
      <c r="Z471">
        <v>0</v>
      </c>
      <c r="AA471">
        <v>0</v>
      </c>
      <c r="AB471">
        <v>0</v>
      </c>
      <c r="AC471">
        <v>0</v>
      </c>
      <c r="AD471">
        <v>0</v>
      </c>
      <c r="AE471">
        <v>0</v>
      </c>
      <c r="AF471">
        <v>0</v>
      </c>
      <c r="AG471">
        <v>0</v>
      </c>
      <c r="AH471">
        <v>0</v>
      </c>
      <c r="AI471">
        <v>0</v>
      </c>
      <c r="AJ471">
        <v>0</v>
      </c>
      <c r="AK471">
        <v>0</v>
      </c>
      <c r="AL471">
        <v>0</v>
      </c>
      <c r="AM471">
        <v>0</v>
      </c>
      <c r="AN471">
        <v>0</v>
      </c>
      <c r="AO471">
        <v>0</v>
      </c>
      <c r="AP471">
        <v>0</v>
      </c>
      <c r="AQ471">
        <v>0</v>
      </c>
      <c r="AR471">
        <v>0</v>
      </c>
      <c r="AS471">
        <v>0</v>
      </c>
      <c r="AT471">
        <v>0</v>
      </c>
      <c r="AU471">
        <v>0</v>
      </c>
      <c r="AV471">
        <v>0</v>
      </c>
      <c r="AW471">
        <v>0</v>
      </c>
      <c r="AX471">
        <v>0</v>
      </c>
      <c r="AY471">
        <v>0</v>
      </c>
      <c r="AZ471">
        <v>0</v>
      </c>
      <c r="BA471">
        <v>0</v>
      </c>
      <c r="BB471">
        <v>0</v>
      </c>
      <c r="BC471">
        <v>0</v>
      </c>
      <c r="BD471">
        <v>0</v>
      </c>
      <c r="BE471">
        <v>0</v>
      </c>
      <c r="BF471">
        <v>0</v>
      </c>
      <c r="BG471">
        <v>0</v>
      </c>
      <c r="BH471">
        <v>0</v>
      </c>
      <c r="BI471">
        <v>0</v>
      </c>
      <c r="BJ471">
        <v>0</v>
      </c>
      <c r="BK471">
        <v>0</v>
      </c>
      <c r="BL471">
        <v>0</v>
      </c>
      <c r="BM471">
        <v>0</v>
      </c>
      <c r="BN471">
        <v>0</v>
      </c>
      <c r="BO471">
        <v>0</v>
      </c>
      <c r="BP471">
        <v>0</v>
      </c>
      <c r="BQ471">
        <v>0</v>
      </c>
      <c r="BR471">
        <v>0</v>
      </c>
      <c r="BS471">
        <v>0</v>
      </c>
      <c r="BT471">
        <v>0</v>
      </c>
      <c r="BU471">
        <v>0</v>
      </c>
      <c r="BV471">
        <v>0</v>
      </c>
      <c r="BW471">
        <v>0</v>
      </c>
      <c r="BX471">
        <v>0</v>
      </c>
      <c r="BY471">
        <v>0</v>
      </c>
      <c r="BZ471">
        <v>0</v>
      </c>
      <c r="CA471">
        <v>0</v>
      </c>
      <c r="CB471">
        <v>0</v>
      </c>
    </row>
    <row r="472" spans="1:80" x14ac:dyDescent="0.2">
      <c r="A472">
        <v>0</v>
      </c>
      <c r="B472">
        <v>0</v>
      </c>
      <c r="C472">
        <v>0</v>
      </c>
      <c r="D472">
        <v>0</v>
      </c>
      <c r="E472">
        <v>0</v>
      </c>
      <c r="F472">
        <v>0</v>
      </c>
      <c r="G472">
        <v>0</v>
      </c>
      <c r="H472">
        <v>0</v>
      </c>
      <c r="I472">
        <v>0</v>
      </c>
      <c r="J472">
        <v>0</v>
      </c>
      <c r="K472">
        <v>0</v>
      </c>
      <c r="L472">
        <v>0</v>
      </c>
      <c r="M472">
        <v>0</v>
      </c>
      <c r="N472">
        <v>0</v>
      </c>
      <c r="O472">
        <v>0</v>
      </c>
      <c r="P472">
        <v>0</v>
      </c>
      <c r="Q472">
        <v>0</v>
      </c>
      <c r="R472">
        <v>0</v>
      </c>
      <c r="S472">
        <v>0</v>
      </c>
      <c r="T472">
        <v>0</v>
      </c>
      <c r="U472">
        <v>0</v>
      </c>
      <c r="V472">
        <v>0</v>
      </c>
      <c r="W472">
        <v>0</v>
      </c>
      <c r="X472">
        <v>0</v>
      </c>
      <c r="Y472">
        <v>0</v>
      </c>
      <c r="Z472">
        <v>0</v>
      </c>
      <c r="AA472">
        <v>0</v>
      </c>
      <c r="AB472">
        <v>0</v>
      </c>
      <c r="AC472">
        <v>0</v>
      </c>
      <c r="AD472">
        <v>0</v>
      </c>
      <c r="AE472">
        <v>0</v>
      </c>
      <c r="AF472">
        <v>0</v>
      </c>
      <c r="AG472">
        <v>0</v>
      </c>
      <c r="AH472">
        <v>0</v>
      </c>
      <c r="AI472">
        <v>0</v>
      </c>
      <c r="AJ472">
        <v>0</v>
      </c>
      <c r="AK472">
        <v>0</v>
      </c>
      <c r="AL472">
        <v>0</v>
      </c>
      <c r="AM472">
        <v>0</v>
      </c>
      <c r="AN472">
        <v>0</v>
      </c>
      <c r="AO472">
        <v>0</v>
      </c>
      <c r="AP472">
        <v>0</v>
      </c>
      <c r="AQ472">
        <v>0</v>
      </c>
      <c r="AR472">
        <v>0</v>
      </c>
      <c r="AS472">
        <v>0</v>
      </c>
      <c r="AT472">
        <v>0</v>
      </c>
      <c r="AU472">
        <v>0</v>
      </c>
      <c r="AV472">
        <v>0</v>
      </c>
      <c r="AW472">
        <v>0</v>
      </c>
      <c r="AX472">
        <v>0</v>
      </c>
      <c r="AY472">
        <v>0</v>
      </c>
      <c r="AZ472">
        <v>0</v>
      </c>
      <c r="BA472">
        <v>0</v>
      </c>
      <c r="BB472">
        <v>0</v>
      </c>
      <c r="BC472">
        <v>0</v>
      </c>
      <c r="BD472">
        <v>0</v>
      </c>
      <c r="BE472">
        <v>0</v>
      </c>
      <c r="BF472">
        <v>0</v>
      </c>
      <c r="BG472">
        <v>0</v>
      </c>
      <c r="BH472">
        <v>0</v>
      </c>
      <c r="BI472">
        <v>0</v>
      </c>
      <c r="BJ472">
        <v>0</v>
      </c>
      <c r="BK472">
        <v>0</v>
      </c>
      <c r="BL472">
        <v>0</v>
      </c>
      <c r="BM472">
        <v>0</v>
      </c>
      <c r="BN472">
        <v>0</v>
      </c>
      <c r="BO472">
        <v>0</v>
      </c>
      <c r="BP472">
        <v>0</v>
      </c>
      <c r="BQ472">
        <v>0</v>
      </c>
      <c r="BR472">
        <v>0</v>
      </c>
      <c r="BS472">
        <v>0</v>
      </c>
      <c r="BT472">
        <v>0</v>
      </c>
      <c r="BU472">
        <v>0</v>
      </c>
      <c r="BV472">
        <v>0</v>
      </c>
      <c r="BW472">
        <v>0</v>
      </c>
      <c r="BX472">
        <v>0</v>
      </c>
      <c r="BY472">
        <v>0</v>
      </c>
      <c r="BZ472">
        <v>0</v>
      </c>
      <c r="CA472">
        <v>0</v>
      </c>
      <c r="CB472">
        <v>0</v>
      </c>
    </row>
    <row r="473" spans="1:80" x14ac:dyDescent="0.2">
      <c r="A473">
        <v>0</v>
      </c>
      <c r="B473">
        <v>0</v>
      </c>
      <c r="C473">
        <v>0</v>
      </c>
      <c r="D473">
        <v>0</v>
      </c>
      <c r="E473">
        <v>0</v>
      </c>
      <c r="F473">
        <v>0</v>
      </c>
      <c r="G473">
        <v>0</v>
      </c>
      <c r="H473">
        <v>0</v>
      </c>
      <c r="I473">
        <v>0</v>
      </c>
      <c r="J473">
        <v>0</v>
      </c>
      <c r="K473">
        <v>0</v>
      </c>
      <c r="L473">
        <v>0</v>
      </c>
      <c r="M473">
        <v>0</v>
      </c>
      <c r="N473">
        <v>0</v>
      </c>
      <c r="O473">
        <v>0</v>
      </c>
      <c r="P473">
        <v>0</v>
      </c>
      <c r="Q473">
        <v>0</v>
      </c>
      <c r="R473">
        <v>0</v>
      </c>
      <c r="S473">
        <v>0</v>
      </c>
      <c r="T473">
        <v>0</v>
      </c>
      <c r="U473">
        <v>0</v>
      </c>
      <c r="V473">
        <v>0</v>
      </c>
      <c r="W473">
        <v>0</v>
      </c>
      <c r="X473">
        <v>0</v>
      </c>
      <c r="Y473">
        <v>0</v>
      </c>
      <c r="Z473">
        <v>0</v>
      </c>
      <c r="AA473">
        <v>0</v>
      </c>
      <c r="AB473">
        <v>0</v>
      </c>
      <c r="AC473">
        <v>0</v>
      </c>
      <c r="AD473">
        <v>0</v>
      </c>
      <c r="AE473">
        <v>0</v>
      </c>
      <c r="AF473">
        <v>0</v>
      </c>
      <c r="AG473">
        <v>0</v>
      </c>
      <c r="AH473">
        <v>0</v>
      </c>
      <c r="AI473">
        <v>0</v>
      </c>
      <c r="AJ473">
        <v>0</v>
      </c>
      <c r="AK473">
        <v>0</v>
      </c>
      <c r="AL473">
        <v>0</v>
      </c>
      <c r="AM473">
        <v>0</v>
      </c>
      <c r="AN473">
        <v>0</v>
      </c>
      <c r="AO473">
        <v>0</v>
      </c>
      <c r="AP473">
        <v>0</v>
      </c>
      <c r="AQ473">
        <v>0</v>
      </c>
      <c r="AR473">
        <v>0</v>
      </c>
      <c r="AS473">
        <v>0</v>
      </c>
      <c r="AT473">
        <v>0</v>
      </c>
      <c r="AU473">
        <v>0</v>
      </c>
      <c r="AV473">
        <v>0</v>
      </c>
      <c r="AW473">
        <v>0</v>
      </c>
      <c r="AX473">
        <v>0</v>
      </c>
      <c r="AY473">
        <v>0</v>
      </c>
      <c r="AZ473">
        <v>0</v>
      </c>
      <c r="BA473">
        <v>0</v>
      </c>
      <c r="BB473">
        <v>0</v>
      </c>
      <c r="BC473">
        <v>0</v>
      </c>
      <c r="BD473">
        <v>0</v>
      </c>
      <c r="BE473">
        <v>0</v>
      </c>
      <c r="BF473">
        <v>0</v>
      </c>
      <c r="BG473">
        <v>0</v>
      </c>
      <c r="BH473">
        <v>0</v>
      </c>
      <c r="BI473">
        <v>0</v>
      </c>
      <c r="BJ473">
        <v>0</v>
      </c>
      <c r="BK473">
        <v>0</v>
      </c>
      <c r="BL473">
        <v>0</v>
      </c>
      <c r="BM473">
        <v>0</v>
      </c>
      <c r="BN473">
        <v>0</v>
      </c>
      <c r="BO473">
        <v>0</v>
      </c>
      <c r="BP473">
        <v>0</v>
      </c>
      <c r="BQ473">
        <v>0</v>
      </c>
      <c r="BR473">
        <v>0</v>
      </c>
      <c r="BS473">
        <v>0</v>
      </c>
      <c r="BT473">
        <v>0</v>
      </c>
      <c r="BU473">
        <v>0</v>
      </c>
      <c r="BV473">
        <v>0</v>
      </c>
      <c r="BW473">
        <v>0</v>
      </c>
      <c r="BX473">
        <v>0</v>
      </c>
      <c r="BY473">
        <v>0</v>
      </c>
      <c r="BZ473">
        <v>0</v>
      </c>
      <c r="CA473">
        <v>0</v>
      </c>
      <c r="CB473">
        <v>0</v>
      </c>
    </row>
    <row r="474" spans="1:80" x14ac:dyDescent="0.2">
      <c r="A474">
        <v>0</v>
      </c>
      <c r="B474">
        <v>0</v>
      </c>
      <c r="C474">
        <v>0</v>
      </c>
      <c r="D474">
        <v>0</v>
      </c>
      <c r="E474">
        <v>0</v>
      </c>
      <c r="F474">
        <v>0</v>
      </c>
      <c r="G474">
        <v>0</v>
      </c>
      <c r="H474">
        <v>0</v>
      </c>
      <c r="I474">
        <v>0</v>
      </c>
      <c r="J474">
        <v>0</v>
      </c>
      <c r="K474">
        <v>0</v>
      </c>
      <c r="L474">
        <v>0</v>
      </c>
      <c r="M474">
        <v>0</v>
      </c>
      <c r="N474">
        <v>0</v>
      </c>
      <c r="O474">
        <v>0</v>
      </c>
      <c r="P474">
        <v>0</v>
      </c>
      <c r="Q474">
        <v>0</v>
      </c>
      <c r="R474">
        <v>0</v>
      </c>
      <c r="S474">
        <v>0</v>
      </c>
      <c r="T474">
        <v>0</v>
      </c>
      <c r="U474">
        <v>0</v>
      </c>
      <c r="V474">
        <v>0</v>
      </c>
      <c r="W474">
        <v>0</v>
      </c>
      <c r="X474">
        <v>0</v>
      </c>
      <c r="Y474">
        <v>0</v>
      </c>
      <c r="Z474">
        <v>0</v>
      </c>
      <c r="AA474">
        <v>0</v>
      </c>
      <c r="AB474">
        <v>0</v>
      </c>
      <c r="AC474">
        <v>0</v>
      </c>
      <c r="AD474">
        <v>0</v>
      </c>
      <c r="AE474">
        <v>0</v>
      </c>
      <c r="AF474">
        <v>0</v>
      </c>
      <c r="AG474">
        <v>0</v>
      </c>
      <c r="AH474">
        <v>0</v>
      </c>
      <c r="AI474">
        <v>0</v>
      </c>
      <c r="AJ474">
        <v>0</v>
      </c>
      <c r="AK474">
        <v>0</v>
      </c>
      <c r="AL474">
        <v>0</v>
      </c>
      <c r="AM474">
        <v>0</v>
      </c>
      <c r="AN474">
        <v>0</v>
      </c>
      <c r="AO474">
        <v>0</v>
      </c>
      <c r="AP474">
        <v>0</v>
      </c>
      <c r="AQ474">
        <v>0</v>
      </c>
      <c r="AR474">
        <v>0</v>
      </c>
      <c r="AS474">
        <v>0</v>
      </c>
      <c r="AT474">
        <v>0</v>
      </c>
      <c r="AU474">
        <v>0</v>
      </c>
      <c r="AV474">
        <v>0</v>
      </c>
      <c r="AW474">
        <v>0</v>
      </c>
      <c r="AX474">
        <v>0</v>
      </c>
      <c r="AY474">
        <v>0</v>
      </c>
      <c r="AZ474">
        <v>0</v>
      </c>
      <c r="BA474">
        <v>0</v>
      </c>
      <c r="BB474">
        <v>0</v>
      </c>
      <c r="BC474">
        <v>0</v>
      </c>
      <c r="BD474">
        <v>0</v>
      </c>
      <c r="BE474">
        <v>0</v>
      </c>
      <c r="BF474">
        <v>0</v>
      </c>
      <c r="BG474">
        <v>0</v>
      </c>
      <c r="BH474">
        <v>0</v>
      </c>
      <c r="BI474">
        <v>0</v>
      </c>
      <c r="BJ474">
        <v>0</v>
      </c>
      <c r="BK474">
        <v>0</v>
      </c>
      <c r="BL474">
        <v>0</v>
      </c>
      <c r="BM474">
        <v>0</v>
      </c>
      <c r="BN474">
        <v>0</v>
      </c>
      <c r="BO474">
        <v>0</v>
      </c>
      <c r="BP474">
        <v>0</v>
      </c>
      <c r="BQ474">
        <v>0</v>
      </c>
      <c r="BR474">
        <v>0</v>
      </c>
      <c r="BS474">
        <v>0</v>
      </c>
      <c r="BT474">
        <v>0</v>
      </c>
      <c r="BU474">
        <v>0</v>
      </c>
      <c r="BV474">
        <v>0</v>
      </c>
      <c r="BW474">
        <v>0</v>
      </c>
      <c r="BX474">
        <v>0</v>
      </c>
      <c r="BY474">
        <v>0</v>
      </c>
      <c r="BZ474">
        <v>0</v>
      </c>
      <c r="CA474">
        <v>0</v>
      </c>
      <c r="CB474">
        <v>0</v>
      </c>
    </row>
    <row r="475" spans="1:80" x14ac:dyDescent="0.2">
      <c r="A475">
        <v>0</v>
      </c>
      <c r="B475">
        <v>0</v>
      </c>
      <c r="C475">
        <v>0</v>
      </c>
      <c r="D475">
        <v>0</v>
      </c>
      <c r="E475">
        <v>0</v>
      </c>
      <c r="F475">
        <v>0</v>
      </c>
      <c r="G475">
        <v>0</v>
      </c>
      <c r="H475">
        <v>0</v>
      </c>
      <c r="I475">
        <v>0</v>
      </c>
      <c r="J475">
        <v>0</v>
      </c>
      <c r="K475">
        <v>0</v>
      </c>
      <c r="L475">
        <v>0</v>
      </c>
      <c r="M475">
        <v>0</v>
      </c>
      <c r="N475">
        <v>0</v>
      </c>
      <c r="O475">
        <v>0</v>
      </c>
      <c r="P475">
        <v>0</v>
      </c>
      <c r="Q475">
        <v>0</v>
      </c>
      <c r="R475">
        <v>0</v>
      </c>
      <c r="S475">
        <v>0</v>
      </c>
      <c r="T475">
        <v>0</v>
      </c>
      <c r="U475">
        <v>0</v>
      </c>
      <c r="V475">
        <v>0</v>
      </c>
      <c r="W475">
        <v>0</v>
      </c>
      <c r="X475">
        <v>0</v>
      </c>
      <c r="Y475">
        <v>0</v>
      </c>
      <c r="Z475">
        <v>0</v>
      </c>
      <c r="AA475">
        <v>0</v>
      </c>
      <c r="AB475">
        <v>0</v>
      </c>
      <c r="AC475">
        <v>0</v>
      </c>
      <c r="AD475">
        <v>0</v>
      </c>
      <c r="AE475">
        <v>0</v>
      </c>
      <c r="AF475">
        <v>0</v>
      </c>
      <c r="AG475">
        <v>0</v>
      </c>
      <c r="AH475">
        <v>0</v>
      </c>
      <c r="AI475">
        <v>0</v>
      </c>
      <c r="AJ475">
        <v>0</v>
      </c>
      <c r="AK475">
        <v>0</v>
      </c>
      <c r="AL475">
        <v>0</v>
      </c>
      <c r="AM475">
        <v>0</v>
      </c>
      <c r="AN475">
        <v>0</v>
      </c>
      <c r="AO475">
        <v>0</v>
      </c>
      <c r="AP475">
        <v>0</v>
      </c>
      <c r="AQ475">
        <v>0</v>
      </c>
      <c r="AR475">
        <v>0</v>
      </c>
      <c r="AS475">
        <v>0</v>
      </c>
      <c r="AT475">
        <v>0</v>
      </c>
      <c r="AU475">
        <v>0</v>
      </c>
      <c r="AV475">
        <v>0</v>
      </c>
      <c r="AW475">
        <v>0</v>
      </c>
      <c r="AX475">
        <v>0</v>
      </c>
      <c r="AY475">
        <v>0</v>
      </c>
      <c r="AZ475">
        <v>0</v>
      </c>
      <c r="BA475">
        <v>0</v>
      </c>
      <c r="BB475">
        <v>0</v>
      </c>
      <c r="BC475">
        <v>0</v>
      </c>
      <c r="BD475">
        <v>0</v>
      </c>
      <c r="BE475">
        <v>0</v>
      </c>
      <c r="BF475">
        <v>0</v>
      </c>
      <c r="BG475">
        <v>0</v>
      </c>
      <c r="BH475">
        <v>0</v>
      </c>
      <c r="BI475">
        <v>0</v>
      </c>
      <c r="BJ475">
        <v>0</v>
      </c>
      <c r="BK475">
        <v>0</v>
      </c>
      <c r="BL475">
        <v>0</v>
      </c>
      <c r="BM475">
        <v>0</v>
      </c>
      <c r="BN475">
        <v>0</v>
      </c>
      <c r="BO475">
        <v>0</v>
      </c>
      <c r="BP475">
        <v>0</v>
      </c>
      <c r="BQ475">
        <v>0</v>
      </c>
      <c r="BR475">
        <v>0</v>
      </c>
      <c r="BS475">
        <v>0</v>
      </c>
      <c r="BT475">
        <v>0</v>
      </c>
      <c r="BU475">
        <v>0</v>
      </c>
      <c r="BV475">
        <v>0</v>
      </c>
      <c r="BW475">
        <v>0</v>
      </c>
      <c r="BX475">
        <v>0</v>
      </c>
      <c r="BY475">
        <v>0</v>
      </c>
      <c r="BZ475">
        <v>0</v>
      </c>
      <c r="CA475">
        <v>0</v>
      </c>
      <c r="CB475">
        <v>0</v>
      </c>
    </row>
    <row r="476" spans="1:80" x14ac:dyDescent="0.2">
      <c r="A476">
        <v>0</v>
      </c>
      <c r="B476">
        <v>0</v>
      </c>
      <c r="C476">
        <v>0</v>
      </c>
      <c r="D476">
        <v>0</v>
      </c>
      <c r="E476">
        <v>0</v>
      </c>
      <c r="F476">
        <v>0</v>
      </c>
      <c r="G476">
        <v>0</v>
      </c>
      <c r="H476">
        <v>0</v>
      </c>
      <c r="I476">
        <v>0</v>
      </c>
      <c r="J476">
        <v>0</v>
      </c>
      <c r="K476">
        <v>0</v>
      </c>
      <c r="L476">
        <v>0</v>
      </c>
      <c r="M476">
        <v>0</v>
      </c>
      <c r="N476">
        <v>0</v>
      </c>
      <c r="O476">
        <v>0</v>
      </c>
      <c r="P476">
        <v>0</v>
      </c>
      <c r="Q476">
        <v>0</v>
      </c>
      <c r="R476">
        <v>0</v>
      </c>
      <c r="S476">
        <v>0</v>
      </c>
      <c r="T476">
        <v>0</v>
      </c>
      <c r="U476">
        <v>0</v>
      </c>
      <c r="V476">
        <v>0</v>
      </c>
      <c r="W476">
        <v>0</v>
      </c>
      <c r="X476">
        <v>0</v>
      </c>
      <c r="Y476">
        <v>0</v>
      </c>
      <c r="Z476">
        <v>0</v>
      </c>
      <c r="AA476">
        <v>0</v>
      </c>
      <c r="AB476">
        <v>0</v>
      </c>
      <c r="AC476">
        <v>0</v>
      </c>
      <c r="AD476">
        <v>0</v>
      </c>
      <c r="AE476">
        <v>0</v>
      </c>
      <c r="AF476">
        <v>0</v>
      </c>
      <c r="AG476">
        <v>0</v>
      </c>
      <c r="AH476">
        <v>0</v>
      </c>
      <c r="AI476">
        <v>0</v>
      </c>
      <c r="AJ476">
        <v>0</v>
      </c>
      <c r="AK476">
        <v>0</v>
      </c>
      <c r="AL476">
        <v>0</v>
      </c>
      <c r="AM476">
        <v>0</v>
      </c>
      <c r="AN476">
        <v>0</v>
      </c>
      <c r="AO476">
        <v>0</v>
      </c>
      <c r="AP476">
        <v>0</v>
      </c>
      <c r="AQ476">
        <v>0</v>
      </c>
      <c r="AR476">
        <v>0</v>
      </c>
      <c r="AS476">
        <v>0</v>
      </c>
      <c r="AT476">
        <v>0</v>
      </c>
      <c r="AU476">
        <v>0</v>
      </c>
      <c r="AV476">
        <v>0</v>
      </c>
      <c r="AW476">
        <v>0</v>
      </c>
      <c r="AX476">
        <v>0</v>
      </c>
      <c r="AY476">
        <v>0</v>
      </c>
      <c r="AZ476">
        <v>0</v>
      </c>
      <c r="BA476">
        <v>0</v>
      </c>
      <c r="BB476">
        <v>0</v>
      </c>
      <c r="BC476">
        <v>0</v>
      </c>
      <c r="BD476">
        <v>0</v>
      </c>
      <c r="BE476">
        <v>0</v>
      </c>
      <c r="BF476">
        <v>0</v>
      </c>
      <c r="BG476">
        <v>0</v>
      </c>
      <c r="BH476">
        <v>0</v>
      </c>
      <c r="BI476">
        <v>0</v>
      </c>
      <c r="BJ476">
        <v>0</v>
      </c>
      <c r="BK476">
        <v>0</v>
      </c>
      <c r="BL476">
        <v>0</v>
      </c>
      <c r="BM476">
        <v>0</v>
      </c>
      <c r="BN476">
        <v>0</v>
      </c>
      <c r="BO476">
        <v>0</v>
      </c>
      <c r="BP476">
        <v>0</v>
      </c>
      <c r="BQ476">
        <v>0</v>
      </c>
      <c r="BR476">
        <v>0</v>
      </c>
      <c r="BS476">
        <v>0</v>
      </c>
      <c r="BT476">
        <v>0</v>
      </c>
      <c r="BU476">
        <v>0</v>
      </c>
      <c r="BV476">
        <v>0</v>
      </c>
      <c r="BW476">
        <v>0</v>
      </c>
      <c r="BX476">
        <v>0</v>
      </c>
      <c r="BY476">
        <v>0</v>
      </c>
      <c r="BZ476">
        <v>0</v>
      </c>
      <c r="CA476">
        <v>0</v>
      </c>
      <c r="CB476">
        <v>0</v>
      </c>
    </row>
    <row r="477" spans="1:80" x14ac:dyDescent="0.2">
      <c r="A477">
        <v>0</v>
      </c>
      <c r="B477">
        <v>0</v>
      </c>
      <c r="C477">
        <v>0</v>
      </c>
      <c r="D477">
        <v>0</v>
      </c>
      <c r="E477">
        <v>0</v>
      </c>
      <c r="F477">
        <v>0</v>
      </c>
      <c r="G477">
        <v>0</v>
      </c>
      <c r="H477">
        <v>0</v>
      </c>
      <c r="I477">
        <v>0</v>
      </c>
      <c r="J477">
        <v>0</v>
      </c>
      <c r="K477">
        <v>0</v>
      </c>
      <c r="L477">
        <v>0</v>
      </c>
      <c r="M477">
        <v>0</v>
      </c>
      <c r="N477">
        <v>0</v>
      </c>
      <c r="O477">
        <v>0</v>
      </c>
      <c r="P477">
        <v>0</v>
      </c>
      <c r="Q477">
        <v>0</v>
      </c>
      <c r="R477">
        <v>0</v>
      </c>
      <c r="S477">
        <v>0</v>
      </c>
      <c r="T477">
        <v>0</v>
      </c>
      <c r="U477">
        <v>0</v>
      </c>
      <c r="V477">
        <v>0</v>
      </c>
      <c r="W477">
        <v>0</v>
      </c>
      <c r="X477">
        <v>0</v>
      </c>
      <c r="Y477">
        <v>0</v>
      </c>
      <c r="Z477">
        <v>0</v>
      </c>
      <c r="AA477">
        <v>0</v>
      </c>
      <c r="AB477">
        <v>0</v>
      </c>
      <c r="AC477">
        <v>0</v>
      </c>
      <c r="AD477">
        <v>0</v>
      </c>
      <c r="AE477">
        <v>0</v>
      </c>
      <c r="AF477">
        <v>0</v>
      </c>
      <c r="AG477">
        <v>0</v>
      </c>
      <c r="AH477">
        <v>0</v>
      </c>
      <c r="AI477">
        <v>0</v>
      </c>
      <c r="AJ477">
        <v>0</v>
      </c>
      <c r="AK477">
        <v>0</v>
      </c>
      <c r="AL477">
        <v>0</v>
      </c>
      <c r="AM477">
        <v>0</v>
      </c>
      <c r="AN477">
        <v>0</v>
      </c>
      <c r="AO477">
        <v>0</v>
      </c>
      <c r="AP477">
        <v>0</v>
      </c>
      <c r="AQ477">
        <v>0</v>
      </c>
      <c r="AR477">
        <v>0</v>
      </c>
      <c r="AS477">
        <v>0</v>
      </c>
      <c r="AT477">
        <v>0</v>
      </c>
      <c r="AU477">
        <v>0</v>
      </c>
      <c r="AV477">
        <v>0</v>
      </c>
      <c r="AW477">
        <v>0</v>
      </c>
      <c r="AX477">
        <v>0</v>
      </c>
      <c r="AY477">
        <v>0</v>
      </c>
      <c r="AZ477">
        <v>0</v>
      </c>
      <c r="BA477">
        <v>0</v>
      </c>
      <c r="BB477">
        <v>0</v>
      </c>
      <c r="BC477">
        <v>0</v>
      </c>
      <c r="BD477">
        <v>0</v>
      </c>
      <c r="BE477">
        <v>0</v>
      </c>
      <c r="BF477">
        <v>0</v>
      </c>
      <c r="BG477">
        <v>0</v>
      </c>
      <c r="BH477">
        <v>0</v>
      </c>
      <c r="BI477">
        <v>0</v>
      </c>
      <c r="BJ477">
        <v>0</v>
      </c>
      <c r="BK477">
        <v>0</v>
      </c>
      <c r="BL477">
        <v>0</v>
      </c>
      <c r="BM477">
        <v>0</v>
      </c>
      <c r="BN477">
        <v>0</v>
      </c>
      <c r="BO477">
        <v>0</v>
      </c>
      <c r="BP477">
        <v>0</v>
      </c>
      <c r="BQ477">
        <v>0</v>
      </c>
      <c r="BR477">
        <v>0</v>
      </c>
      <c r="BS477">
        <v>0</v>
      </c>
      <c r="BT477">
        <v>0</v>
      </c>
      <c r="BU477">
        <v>0</v>
      </c>
      <c r="BV477">
        <v>0</v>
      </c>
      <c r="BW477">
        <v>0</v>
      </c>
      <c r="BX477">
        <v>0</v>
      </c>
      <c r="BY477">
        <v>0</v>
      </c>
      <c r="BZ477">
        <v>0</v>
      </c>
      <c r="CA477">
        <v>0</v>
      </c>
      <c r="CB477">
        <v>0</v>
      </c>
    </row>
    <row r="478" spans="1:80" x14ac:dyDescent="0.2">
      <c r="A478">
        <v>0</v>
      </c>
      <c r="B478">
        <v>0</v>
      </c>
      <c r="C478">
        <v>0</v>
      </c>
      <c r="D478">
        <v>0</v>
      </c>
      <c r="E478">
        <v>0</v>
      </c>
      <c r="F478">
        <v>0</v>
      </c>
      <c r="G478">
        <v>0</v>
      </c>
      <c r="H478">
        <v>0</v>
      </c>
      <c r="I478">
        <v>0</v>
      </c>
      <c r="J478">
        <v>0</v>
      </c>
      <c r="K478">
        <v>0</v>
      </c>
      <c r="L478">
        <v>0</v>
      </c>
      <c r="M478">
        <v>0</v>
      </c>
      <c r="N478">
        <v>0</v>
      </c>
      <c r="O478">
        <v>0</v>
      </c>
      <c r="P478">
        <v>0</v>
      </c>
      <c r="Q478">
        <v>0</v>
      </c>
      <c r="R478">
        <v>0</v>
      </c>
      <c r="S478">
        <v>0</v>
      </c>
      <c r="T478">
        <v>0</v>
      </c>
      <c r="U478">
        <v>0</v>
      </c>
      <c r="V478">
        <v>0</v>
      </c>
      <c r="W478">
        <v>0</v>
      </c>
      <c r="X478">
        <v>0</v>
      </c>
      <c r="Y478">
        <v>0</v>
      </c>
      <c r="Z478">
        <v>0</v>
      </c>
      <c r="AA478">
        <v>0</v>
      </c>
      <c r="AB478">
        <v>0</v>
      </c>
      <c r="AC478">
        <v>0</v>
      </c>
      <c r="AD478">
        <v>0</v>
      </c>
      <c r="AE478">
        <v>0</v>
      </c>
      <c r="AF478">
        <v>0</v>
      </c>
      <c r="AG478">
        <v>0</v>
      </c>
      <c r="AH478">
        <v>0</v>
      </c>
      <c r="AI478">
        <v>0</v>
      </c>
      <c r="AJ478">
        <v>0</v>
      </c>
      <c r="AK478">
        <v>0</v>
      </c>
      <c r="AL478">
        <v>0</v>
      </c>
      <c r="AM478">
        <v>0</v>
      </c>
      <c r="AN478">
        <v>0</v>
      </c>
      <c r="AO478">
        <v>0</v>
      </c>
      <c r="AP478">
        <v>0</v>
      </c>
      <c r="AQ478">
        <v>0</v>
      </c>
      <c r="AR478">
        <v>0</v>
      </c>
      <c r="AS478">
        <v>0</v>
      </c>
      <c r="AT478">
        <v>0</v>
      </c>
      <c r="AU478">
        <v>0</v>
      </c>
      <c r="AV478">
        <v>0</v>
      </c>
      <c r="AW478">
        <v>0</v>
      </c>
      <c r="AX478">
        <v>0</v>
      </c>
      <c r="AY478">
        <v>0</v>
      </c>
      <c r="AZ478">
        <v>0</v>
      </c>
      <c r="BA478">
        <v>0</v>
      </c>
      <c r="BB478">
        <v>0</v>
      </c>
      <c r="BC478">
        <v>0</v>
      </c>
      <c r="BD478">
        <v>0</v>
      </c>
      <c r="BE478">
        <v>0</v>
      </c>
      <c r="BF478">
        <v>0</v>
      </c>
      <c r="BG478">
        <v>0</v>
      </c>
      <c r="BH478">
        <v>0</v>
      </c>
      <c r="BI478">
        <v>0</v>
      </c>
      <c r="BJ478">
        <v>0</v>
      </c>
      <c r="BK478">
        <v>0</v>
      </c>
      <c r="BL478">
        <v>0</v>
      </c>
      <c r="BM478">
        <v>0</v>
      </c>
      <c r="BN478">
        <v>0</v>
      </c>
      <c r="BO478">
        <v>0</v>
      </c>
      <c r="BP478">
        <v>0</v>
      </c>
      <c r="BQ478">
        <v>0</v>
      </c>
      <c r="BR478">
        <v>0</v>
      </c>
      <c r="BS478">
        <v>0</v>
      </c>
      <c r="BT478">
        <v>0</v>
      </c>
      <c r="BU478">
        <v>0</v>
      </c>
      <c r="BV478">
        <v>0</v>
      </c>
      <c r="BW478">
        <v>0</v>
      </c>
      <c r="BX478">
        <v>0</v>
      </c>
      <c r="BY478">
        <v>0</v>
      </c>
      <c r="BZ478">
        <v>0</v>
      </c>
      <c r="CA478">
        <v>0</v>
      </c>
      <c r="CB478">
        <v>0</v>
      </c>
    </row>
    <row r="479" spans="1:80" x14ac:dyDescent="0.2">
      <c r="A479">
        <v>0</v>
      </c>
      <c r="B479">
        <v>0</v>
      </c>
      <c r="C479">
        <v>0</v>
      </c>
      <c r="D479">
        <v>0</v>
      </c>
      <c r="E479">
        <v>0</v>
      </c>
      <c r="F479">
        <v>0</v>
      </c>
      <c r="G479">
        <v>0</v>
      </c>
      <c r="H479">
        <v>0</v>
      </c>
      <c r="I479">
        <v>0</v>
      </c>
      <c r="J479">
        <v>0</v>
      </c>
      <c r="K479">
        <v>0</v>
      </c>
      <c r="L479">
        <v>0</v>
      </c>
      <c r="M479">
        <v>0</v>
      </c>
      <c r="N479">
        <v>0</v>
      </c>
      <c r="O479">
        <v>0</v>
      </c>
      <c r="P479">
        <v>0</v>
      </c>
      <c r="Q479">
        <v>0</v>
      </c>
      <c r="R479">
        <v>0</v>
      </c>
      <c r="S479">
        <v>0</v>
      </c>
      <c r="T479">
        <v>0</v>
      </c>
      <c r="U479">
        <v>0</v>
      </c>
      <c r="V479">
        <v>0</v>
      </c>
      <c r="W479">
        <v>0</v>
      </c>
      <c r="X479">
        <v>0</v>
      </c>
      <c r="Y479">
        <v>0</v>
      </c>
      <c r="Z479">
        <v>0</v>
      </c>
      <c r="AA479">
        <v>0</v>
      </c>
      <c r="AB479">
        <v>0</v>
      </c>
      <c r="AC479">
        <v>0</v>
      </c>
      <c r="AD479">
        <v>0</v>
      </c>
      <c r="AE479">
        <v>0</v>
      </c>
      <c r="AF479">
        <v>0</v>
      </c>
      <c r="AG479">
        <v>0</v>
      </c>
      <c r="AH479">
        <v>0</v>
      </c>
      <c r="AI479">
        <v>0</v>
      </c>
      <c r="AJ479">
        <v>0</v>
      </c>
      <c r="AK479">
        <v>0</v>
      </c>
      <c r="AL479">
        <v>0</v>
      </c>
      <c r="AM479">
        <v>0</v>
      </c>
      <c r="AN479">
        <v>0</v>
      </c>
      <c r="AO479">
        <v>0</v>
      </c>
      <c r="AP479">
        <v>0</v>
      </c>
      <c r="AQ479">
        <v>0</v>
      </c>
      <c r="AR479">
        <v>0</v>
      </c>
      <c r="AS479">
        <v>0</v>
      </c>
      <c r="AT479">
        <v>0</v>
      </c>
      <c r="AU479">
        <v>0</v>
      </c>
      <c r="AV479">
        <v>0</v>
      </c>
      <c r="AW479">
        <v>0</v>
      </c>
      <c r="AX479">
        <v>0</v>
      </c>
      <c r="AY479">
        <v>0</v>
      </c>
      <c r="AZ479">
        <v>0</v>
      </c>
      <c r="BA479">
        <v>0</v>
      </c>
      <c r="BB479">
        <v>0</v>
      </c>
      <c r="BC479">
        <v>0</v>
      </c>
      <c r="BD479">
        <v>0</v>
      </c>
      <c r="BE479">
        <v>0</v>
      </c>
      <c r="BF479">
        <v>0</v>
      </c>
      <c r="BG479">
        <v>0</v>
      </c>
      <c r="BH479">
        <v>0</v>
      </c>
      <c r="BI479">
        <v>0</v>
      </c>
      <c r="BJ479">
        <v>0</v>
      </c>
      <c r="BK479">
        <v>0</v>
      </c>
      <c r="BL479">
        <v>0</v>
      </c>
      <c r="BM479">
        <v>0</v>
      </c>
      <c r="BN479">
        <v>0</v>
      </c>
      <c r="BO479">
        <v>0</v>
      </c>
      <c r="BP479">
        <v>0</v>
      </c>
      <c r="BQ479">
        <v>0</v>
      </c>
      <c r="BR479">
        <v>0</v>
      </c>
      <c r="BS479">
        <v>0</v>
      </c>
      <c r="BT479">
        <v>0</v>
      </c>
      <c r="BU479">
        <v>0</v>
      </c>
      <c r="BV479">
        <v>0</v>
      </c>
      <c r="BW479">
        <v>0</v>
      </c>
      <c r="BX479">
        <v>0</v>
      </c>
      <c r="BY479">
        <v>0</v>
      </c>
      <c r="BZ479">
        <v>0</v>
      </c>
      <c r="CA479">
        <v>0</v>
      </c>
      <c r="CB479">
        <v>0</v>
      </c>
    </row>
    <row r="480" spans="1:80" x14ac:dyDescent="0.2">
      <c r="A480">
        <v>0</v>
      </c>
      <c r="B480">
        <v>0</v>
      </c>
      <c r="C480">
        <v>0</v>
      </c>
      <c r="D480">
        <v>0</v>
      </c>
      <c r="E480">
        <v>0</v>
      </c>
      <c r="F480">
        <v>0</v>
      </c>
      <c r="G480">
        <v>0</v>
      </c>
      <c r="H480">
        <v>0</v>
      </c>
      <c r="I480">
        <v>0</v>
      </c>
      <c r="J480">
        <v>0</v>
      </c>
      <c r="K480">
        <v>0</v>
      </c>
      <c r="L480">
        <v>0</v>
      </c>
      <c r="M480">
        <v>0</v>
      </c>
      <c r="N480">
        <v>0</v>
      </c>
      <c r="O480">
        <v>0</v>
      </c>
      <c r="P480">
        <v>0</v>
      </c>
      <c r="Q480">
        <v>0</v>
      </c>
      <c r="R480">
        <v>0</v>
      </c>
      <c r="S480">
        <v>0</v>
      </c>
      <c r="T480">
        <v>0</v>
      </c>
      <c r="U480">
        <v>0</v>
      </c>
      <c r="V480">
        <v>0</v>
      </c>
      <c r="W480">
        <v>0</v>
      </c>
      <c r="X480">
        <v>0</v>
      </c>
      <c r="Y480">
        <v>0</v>
      </c>
      <c r="Z480">
        <v>0</v>
      </c>
      <c r="AA480">
        <v>0</v>
      </c>
      <c r="AB480">
        <v>0</v>
      </c>
      <c r="AC480">
        <v>0</v>
      </c>
      <c r="AD480">
        <v>0</v>
      </c>
      <c r="AE480">
        <v>0</v>
      </c>
      <c r="AF480">
        <v>0</v>
      </c>
      <c r="AG480">
        <v>0</v>
      </c>
      <c r="AH480">
        <v>0</v>
      </c>
      <c r="AI480">
        <v>0</v>
      </c>
      <c r="AJ480">
        <v>0</v>
      </c>
      <c r="AK480">
        <v>0</v>
      </c>
      <c r="AL480">
        <v>0</v>
      </c>
      <c r="AM480">
        <v>0</v>
      </c>
      <c r="AN480">
        <v>0</v>
      </c>
      <c r="AO480">
        <v>0</v>
      </c>
      <c r="AP480">
        <v>0</v>
      </c>
      <c r="AQ480">
        <v>0</v>
      </c>
      <c r="AR480">
        <v>0</v>
      </c>
      <c r="AS480">
        <v>0</v>
      </c>
      <c r="AT480">
        <v>0</v>
      </c>
      <c r="AU480">
        <v>0</v>
      </c>
      <c r="AV480">
        <v>0</v>
      </c>
      <c r="AW480">
        <v>0</v>
      </c>
      <c r="AX480">
        <v>0</v>
      </c>
      <c r="AY480">
        <v>0</v>
      </c>
      <c r="AZ480">
        <v>0</v>
      </c>
      <c r="BA480">
        <v>0</v>
      </c>
      <c r="BB480">
        <v>0</v>
      </c>
      <c r="BC480">
        <v>0</v>
      </c>
      <c r="BD480">
        <v>0</v>
      </c>
      <c r="BE480">
        <v>0</v>
      </c>
      <c r="BF480">
        <v>0</v>
      </c>
      <c r="BG480">
        <v>0</v>
      </c>
      <c r="BH480">
        <v>0</v>
      </c>
      <c r="BI480">
        <v>0</v>
      </c>
      <c r="BJ480">
        <v>0</v>
      </c>
      <c r="BK480">
        <v>0</v>
      </c>
      <c r="BL480">
        <v>0</v>
      </c>
      <c r="BM480">
        <v>0</v>
      </c>
      <c r="BN480">
        <v>0</v>
      </c>
      <c r="BO480">
        <v>0</v>
      </c>
      <c r="BP480">
        <v>0</v>
      </c>
      <c r="BQ480">
        <v>0</v>
      </c>
      <c r="BR480">
        <v>0</v>
      </c>
      <c r="BS480">
        <v>0</v>
      </c>
      <c r="BT480">
        <v>0</v>
      </c>
      <c r="BU480">
        <v>0</v>
      </c>
      <c r="BV480">
        <v>0</v>
      </c>
      <c r="BW480">
        <v>0</v>
      </c>
      <c r="BX480">
        <v>0</v>
      </c>
      <c r="BY480">
        <v>0</v>
      </c>
      <c r="BZ480">
        <v>0</v>
      </c>
      <c r="CA480">
        <v>0</v>
      </c>
      <c r="CB480">
        <v>0</v>
      </c>
    </row>
    <row r="481" spans="1:80" x14ac:dyDescent="0.2">
      <c r="A481">
        <v>0</v>
      </c>
      <c r="B481">
        <v>0</v>
      </c>
      <c r="C481">
        <v>0</v>
      </c>
      <c r="D481">
        <v>0</v>
      </c>
      <c r="E481">
        <v>0</v>
      </c>
      <c r="F481">
        <v>0</v>
      </c>
      <c r="G481">
        <v>0</v>
      </c>
      <c r="H481">
        <v>0</v>
      </c>
      <c r="I481">
        <v>0</v>
      </c>
      <c r="J481">
        <v>0</v>
      </c>
      <c r="K481">
        <v>0</v>
      </c>
      <c r="L481">
        <v>0</v>
      </c>
      <c r="M481">
        <v>0</v>
      </c>
      <c r="N481">
        <v>0</v>
      </c>
      <c r="O481">
        <v>0</v>
      </c>
      <c r="P481">
        <v>0</v>
      </c>
      <c r="Q481">
        <v>0</v>
      </c>
      <c r="R481">
        <v>0</v>
      </c>
      <c r="S481">
        <v>0</v>
      </c>
      <c r="T481">
        <v>0</v>
      </c>
      <c r="U481">
        <v>0</v>
      </c>
      <c r="V481">
        <v>0</v>
      </c>
      <c r="W481">
        <v>0</v>
      </c>
      <c r="X481">
        <v>0</v>
      </c>
      <c r="Y481">
        <v>0</v>
      </c>
      <c r="Z481">
        <v>0</v>
      </c>
      <c r="AA481">
        <v>0</v>
      </c>
      <c r="AB481">
        <v>0</v>
      </c>
      <c r="AC481">
        <v>0</v>
      </c>
      <c r="AD481">
        <v>0</v>
      </c>
      <c r="AE481">
        <v>0</v>
      </c>
      <c r="AF481">
        <v>0</v>
      </c>
      <c r="AG481">
        <v>0</v>
      </c>
      <c r="AH481">
        <v>0</v>
      </c>
      <c r="AI481">
        <v>0</v>
      </c>
      <c r="AJ481">
        <v>0</v>
      </c>
      <c r="AK481">
        <v>0</v>
      </c>
      <c r="AL481">
        <v>0</v>
      </c>
      <c r="AM481">
        <v>0</v>
      </c>
      <c r="AN481">
        <v>0</v>
      </c>
      <c r="AO481">
        <v>0</v>
      </c>
      <c r="AP481">
        <v>0</v>
      </c>
      <c r="AQ481">
        <v>0</v>
      </c>
      <c r="AR481">
        <v>0</v>
      </c>
      <c r="AS481">
        <v>0</v>
      </c>
      <c r="AT481">
        <v>0</v>
      </c>
      <c r="AU481">
        <v>0</v>
      </c>
      <c r="AV481">
        <v>0</v>
      </c>
      <c r="AW481">
        <v>0</v>
      </c>
      <c r="AX481">
        <v>0</v>
      </c>
      <c r="AY481">
        <v>0</v>
      </c>
      <c r="AZ481">
        <v>0</v>
      </c>
      <c r="BA481">
        <v>0</v>
      </c>
      <c r="BB481">
        <v>0</v>
      </c>
      <c r="BC481">
        <v>0</v>
      </c>
      <c r="BD481">
        <v>0</v>
      </c>
      <c r="BE481">
        <v>0</v>
      </c>
      <c r="BF481">
        <v>0</v>
      </c>
      <c r="BG481">
        <v>0</v>
      </c>
      <c r="BH481">
        <v>0</v>
      </c>
      <c r="BI481">
        <v>0</v>
      </c>
      <c r="BJ481">
        <v>0</v>
      </c>
      <c r="BK481">
        <v>0</v>
      </c>
      <c r="BL481">
        <v>0</v>
      </c>
      <c r="BM481">
        <v>0</v>
      </c>
      <c r="BN481">
        <v>0</v>
      </c>
      <c r="BO481">
        <v>0</v>
      </c>
      <c r="BP481">
        <v>0</v>
      </c>
      <c r="BQ481">
        <v>0</v>
      </c>
      <c r="BR481">
        <v>0</v>
      </c>
      <c r="BS481">
        <v>0</v>
      </c>
      <c r="BT481">
        <v>0</v>
      </c>
      <c r="BU481">
        <v>0</v>
      </c>
      <c r="BV481">
        <v>0</v>
      </c>
      <c r="BW481">
        <v>0</v>
      </c>
      <c r="BX481">
        <v>0</v>
      </c>
      <c r="BY481">
        <v>0</v>
      </c>
      <c r="BZ481">
        <v>0</v>
      </c>
      <c r="CA481">
        <v>0</v>
      </c>
      <c r="CB481">
        <v>0</v>
      </c>
    </row>
    <row r="482" spans="1:80" x14ac:dyDescent="0.2">
      <c r="A482">
        <v>0</v>
      </c>
      <c r="B482">
        <v>0</v>
      </c>
      <c r="C482">
        <v>0</v>
      </c>
      <c r="D482">
        <v>0</v>
      </c>
      <c r="E482">
        <v>0</v>
      </c>
      <c r="F482">
        <v>0</v>
      </c>
      <c r="G482">
        <v>0</v>
      </c>
      <c r="H482">
        <v>0</v>
      </c>
      <c r="I482">
        <v>0</v>
      </c>
      <c r="J482">
        <v>0</v>
      </c>
      <c r="K482">
        <v>0</v>
      </c>
      <c r="L482">
        <v>0</v>
      </c>
      <c r="M482">
        <v>0</v>
      </c>
      <c r="N482">
        <v>0</v>
      </c>
      <c r="O482">
        <v>0</v>
      </c>
      <c r="P482">
        <v>0</v>
      </c>
      <c r="Q482">
        <v>0</v>
      </c>
      <c r="R482">
        <v>0</v>
      </c>
      <c r="S482">
        <v>0</v>
      </c>
      <c r="T482">
        <v>0</v>
      </c>
      <c r="U482">
        <v>0</v>
      </c>
      <c r="V482">
        <v>0</v>
      </c>
      <c r="W482">
        <v>0</v>
      </c>
      <c r="X482">
        <v>0</v>
      </c>
      <c r="Y482">
        <v>0</v>
      </c>
      <c r="Z482">
        <v>0</v>
      </c>
      <c r="AA482">
        <v>0</v>
      </c>
      <c r="AB482">
        <v>0</v>
      </c>
      <c r="AC482">
        <v>0</v>
      </c>
      <c r="AD482">
        <v>0</v>
      </c>
      <c r="AE482">
        <v>0</v>
      </c>
      <c r="AF482">
        <v>0</v>
      </c>
      <c r="AG482">
        <v>0</v>
      </c>
      <c r="AH482">
        <v>0</v>
      </c>
      <c r="AI482">
        <v>0</v>
      </c>
      <c r="AJ482">
        <v>0</v>
      </c>
      <c r="AK482">
        <v>0</v>
      </c>
      <c r="AL482">
        <v>0</v>
      </c>
      <c r="AM482">
        <v>0</v>
      </c>
      <c r="AN482">
        <v>0</v>
      </c>
      <c r="AO482">
        <v>0</v>
      </c>
      <c r="AP482">
        <v>0</v>
      </c>
      <c r="AQ482">
        <v>0</v>
      </c>
      <c r="AR482">
        <v>0</v>
      </c>
      <c r="AS482">
        <v>0</v>
      </c>
      <c r="AT482">
        <v>0</v>
      </c>
      <c r="AU482">
        <v>0</v>
      </c>
      <c r="AV482">
        <v>0</v>
      </c>
      <c r="AW482">
        <v>0</v>
      </c>
      <c r="AX482">
        <v>0</v>
      </c>
      <c r="AY482">
        <v>0</v>
      </c>
      <c r="AZ482">
        <v>0</v>
      </c>
      <c r="BA482">
        <v>0</v>
      </c>
      <c r="BB482">
        <v>0</v>
      </c>
      <c r="BC482">
        <v>0</v>
      </c>
      <c r="BD482">
        <v>0</v>
      </c>
      <c r="BE482">
        <v>0</v>
      </c>
      <c r="BF482">
        <v>0</v>
      </c>
      <c r="BG482">
        <v>0</v>
      </c>
      <c r="BH482">
        <v>0</v>
      </c>
      <c r="BI482">
        <v>0</v>
      </c>
      <c r="BJ482">
        <v>0</v>
      </c>
      <c r="BK482">
        <v>0</v>
      </c>
      <c r="BL482">
        <v>0</v>
      </c>
      <c r="BM482">
        <v>0</v>
      </c>
      <c r="BN482">
        <v>0</v>
      </c>
      <c r="BO482">
        <v>0</v>
      </c>
      <c r="BP482">
        <v>0</v>
      </c>
      <c r="BQ482">
        <v>0</v>
      </c>
      <c r="BR482">
        <v>0</v>
      </c>
      <c r="BS482">
        <v>0</v>
      </c>
      <c r="BT482">
        <v>0</v>
      </c>
      <c r="BU482">
        <v>0</v>
      </c>
      <c r="BV482">
        <v>0</v>
      </c>
      <c r="BW482">
        <v>0</v>
      </c>
      <c r="BX482">
        <v>0</v>
      </c>
      <c r="BY482">
        <v>0</v>
      </c>
      <c r="BZ482">
        <v>0</v>
      </c>
      <c r="CA482">
        <v>0</v>
      </c>
      <c r="CB482">
        <v>0</v>
      </c>
    </row>
    <row r="483" spans="1:80" x14ac:dyDescent="0.2">
      <c r="A483">
        <v>0</v>
      </c>
      <c r="B483">
        <v>0</v>
      </c>
      <c r="C483">
        <v>0</v>
      </c>
      <c r="D483">
        <v>0</v>
      </c>
      <c r="E483">
        <v>0</v>
      </c>
      <c r="F483">
        <v>0</v>
      </c>
      <c r="G483">
        <v>0</v>
      </c>
      <c r="H483">
        <v>0</v>
      </c>
      <c r="I483">
        <v>0</v>
      </c>
      <c r="J483">
        <v>0</v>
      </c>
      <c r="K483">
        <v>0</v>
      </c>
      <c r="L483">
        <v>0</v>
      </c>
      <c r="M483">
        <v>0</v>
      </c>
      <c r="N483">
        <v>0</v>
      </c>
      <c r="O483">
        <v>0</v>
      </c>
      <c r="P483">
        <v>0</v>
      </c>
      <c r="Q483">
        <v>0</v>
      </c>
      <c r="R483">
        <v>0</v>
      </c>
      <c r="S483">
        <v>0</v>
      </c>
      <c r="T483">
        <v>0</v>
      </c>
      <c r="U483">
        <v>0</v>
      </c>
      <c r="V483">
        <v>0</v>
      </c>
      <c r="W483">
        <v>0</v>
      </c>
      <c r="X483">
        <v>0</v>
      </c>
      <c r="Y483">
        <v>0</v>
      </c>
      <c r="Z483">
        <v>0</v>
      </c>
      <c r="AA483">
        <v>0</v>
      </c>
      <c r="AB483">
        <v>0</v>
      </c>
      <c r="AC483">
        <v>0</v>
      </c>
      <c r="AD483">
        <v>0</v>
      </c>
      <c r="AE483">
        <v>0</v>
      </c>
      <c r="AF483">
        <v>0</v>
      </c>
      <c r="AG483">
        <v>0</v>
      </c>
      <c r="AH483">
        <v>0</v>
      </c>
      <c r="AI483">
        <v>0</v>
      </c>
      <c r="AJ483">
        <v>0</v>
      </c>
      <c r="AK483">
        <v>0</v>
      </c>
      <c r="AL483">
        <v>0</v>
      </c>
      <c r="AM483">
        <v>0</v>
      </c>
      <c r="AN483">
        <v>0</v>
      </c>
      <c r="AO483">
        <v>0</v>
      </c>
      <c r="AP483">
        <v>0</v>
      </c>
      <c r="AQ483">
        <v>0</v>
      </c>
      <c r="AR483">
        <v>0</v>
      </c>
      <c r="AS483">
        <v>0</v>
      </c>
      <c r="AT483">
        <v>0</v>
      </c>
      <c r="AU483">
        <v>0</v>
      </c>
      <c r="AV483">
        <v>0</v>
      </c>
      <c r="AW483">
        <v>0</v>
      </c>
      <c r="AX483">
        <v>0</v>
      </c>
      <c r="AY483">
        <v>0</v>
      </c>
      <c r="AZ483">
        <v>0</v>
      </c>
      <c r="BA483">
        <v>0</v>
      </c>
      <c r="BB483">
        <v>0</v>
      </c>
      <c r="BC483">
        <v>0</v>
      </c>
      <c r="BD483">
        <v>0</v>
      </c>
      <c r="BE483">
        <v>0</v>
      </c>
      <c r="BF483">
        <v>0</v>
      </c>
      <c r="BG483">
        <v>0</v>
      </c>
      <c r="BH483">
        <v>0</v>
      </c>
      <c r="BI483">
        <v>0</v>
      </c>
      <c r="BJ483">
        <v>0</v>
      </c>
      <c r="BK483">
        <v>0</v>
      </c>
      <c r="BL483">
        <v>0</v>
      </c>
      <c r="BM483">
        <v>0</v>
      </c>
      <c r="BN483">
        <v>0</v>
      </c>
      <c r="BO483">
        <v>0</v>
      </c>
      <c r="BP483">
        <v>0</v>
      </c>
      <c r="BQ483">
        <v>0</v>
      </c>
      <c r="BR483">
        <v>0</v>
      </c>
      <c r="BS483">
        <v>0</v>
      </c>
      <c r="BT483">
        <v>0</v>
      </c>
      <c r="BU483">
        <v>0</v>
      </c>
      <c r="BV483">
        <v>0</v>
      </c>
      <c r="BW483">
        <v>0</v>
      </c>
      <c r="BX483">
        <v>0</v>
      </c>
      <c r="BY483">
        <v>0</v>
      </c>
      <c r="BZ483">
        <v>0</v>
      </c>
      <c r="CA483">
        <v>0</v>
      </c>
      <c r="CB483">
        <v>0</v>
      </c>
    </row>
    <row r="484" spans="1:80" x14ac:dyDescent="0.2">
      <c r="A484">
        <v>0</v>
      </c>
      <c r="B484">
        <v>0</v>
      </c>
      <c r="C484">
        <v>0</v>
      </c>
      <c r="D484">
        <v>0</v>
      </c>
      <c r="E484">
        <v>0</v>
      </c>
      <c r="F484">
        <v>0</v>
      </c>
      <c r="G484">
        <v>0</v>
      </c>
      <c r="H484">
        <v>0</v>
      </c>
      <c r="I484">
        <v>0</v>
      </c>
      <c r="J484">
        <v>0</v>
      </c>
      <c r="K484">
        <v>0</v>
      </c>
      <c r="L484">
        <v>0</v>
      </c>
      <c r="M484">
        <v>0</v>
      </c>
      <c r="N484">
        <v>0</v>
      </c>
      <c r="O484">
        <v>0</v>
      </c>
      <c r="P484">
        <v>0</v>
      </c>
      <c r="Q484">
        <v>0</v>
      </c>
      <c r="R484">
        <v>0</v>
      </c>
      <c r="S484">
        <v>0</v>
      </c>
      <c r="T484">
        <v>0</v>
      </c>
      <c r="U484">
        <v>0</v>
      </c>
      <c r="V484">
        <v>0</v>
      </c>
      <c r="W484">
        <v>0</v>
      </c>
      <c r="X484">
        <v>0</v>
      </c>
      <c r="Y484">
        <v>0</v>
      </c>
      <c r="Z484">
        <v>0</v>
      </c>
      <c r="AA484">
        <v>0</v>
      </c>
      <c r="AB484">
        <v>0</v>
      </c>
      <c r="AC484">
        <v>0</v>
      </c>
      <c r="AD484">
        <v>0</v>
      </c>
      <c r="AE484">
        <v>0</v>
      </c>
      <c r="AF484">
        <v>0</v>
      </c>
      <c r="AG484">
        <v>0</v>
      </c>
      <c r="AH484">
        <v>0</v>
      </c>
      <c r="AI484">
        <v>0</v>
      </c>
      <c r="AJ484">
        <v>0</v>
      </c>
      <c r="AK484">
        <v>0</v>
      </c>
      <c r="AL484">
        <v>0</v>
      </c>
      <c r="AM484">
        <v>0</v>
      </c>
      <c r="AN484">
        <v>0</v>
      </c>
      <c r="AO484">
        <v>0</v>
      </c>
      <c r="AP484">
        <v>0</v>
      </c>
      <c r="AQ484">
        <v>0</v>
      </c>
      <c r="AR484">
        <v>0</v>
      </c>
      <c r="AS484">
        <v>0</v>
      </c>
      <c r="AT484">
        <v>0</v>
      </c>
      <c r="AU484">
        <v>0</v>
      </c>
      <c r="AV484">
        <v>0</v>
      </c>
      <c r="AW484">
        <v>0</v>
      </c>
      <c r="AX484">
        <v>0</v>
      </c>
      <c r="AY484">
        <v>0</v>
      </c>
      <c r="AZ484">
        <v>0</v>
      </c>
      <c r="BA484">
        <v>0</v>
      </c>
      <c r="BB484">
        <v>0</v>
      </c>
      <c r="BC484">
        <v>0</v>
      </c>
      <c r="BD484">
        <v>0</v>
      </c>
      <c r="BE484">
        <v>0</v>
      </c>
      <c r="BF484">
        <v>0</v>
      </c>
      <c r="BG484">
        <v>0</v>
      </c>
      <c r="BH484">
        <v>0</v>
      </c>
      <c r="BI484">
        <v>0</v>
      </c>
      <c r="BJ484">
        <v>0</v>
      </c>
      <c r="BK484">
        <v>0</v>
      </c>
      <c r="BL484">
        <v>0</v>
      </c>
      <c r="BM484">
        <v>0</v>
      </c>
      <c r="BN484">
        <v>0</v>
      </c>
      <c r="BO484">
        <v>0</v>
      </c>
      <c r="BP484">
        <v>0</v>
      </c>
      <c r="BQ484">
        <v>0</v>
      </c>
      <c r="BR484">
        <v>0</v>
      </c>
      <c r="BS484">
        <v>0</v>
      </c>
      <c r="BT484">
        <v>0</v>
      </c>
      <c r="BU484">
        <v>0</v>
      </c>
      <c r="BV484">
        <v>0</v>
      </c>
      <c r="BW484">
        <v>0</v>
      </c>
      <c r="BX484">
        <v>0</v>
      </c>
      <c r="BY484">
        <v>0</v>
      </c>
      <c r="BZ484">
        <v>0</v>
      </c>
      <c r="CA484">
        <v>0</v>
      </c>
      <c r="CB484">
        <v>0</v>
      </c>
    </row>
    <row r="485" spans="1:80" x14ac:dyDescent="0.2">
      <c r="A485">
        <v>0</v>
      </c>
      <c r="B485">
        <v>0</v>
      </c>
      <c r="C485">
        <v>0</v>
      </c>
      <c r="D485">
        <v>0</v>
      </c>
      <c r="E485">
        <v>0</v>
      </c>
      <c r="F485">
        <v>0</v>
      </c>
      <c r="G485">
        <v>0</v>
      </c>
      <c r="H485">
        <v>0</v>
      </c>
      <c r="I485">
        <v>0</v>
      </c>
      <c r="J485">
        <v>0</v>
      </c>
      <c r="K485">
        <v>0</v>
      </c>
      <c r="L485">
        <v>0</v>
      </c>
      <c r="M485">
        <v>0</v>
      </c>
      <c r="N485">
        <v>0</v>
      </c>
      <c r="O485">
        <v>0</v>
      </c>
      <c r="P485">
        <v>0</v>
      </c>
      <c r="Q485">
        <v>0</v>
      </c>
      <c r="R485">
        <v>0</v>
      </c>
      <c r="S485">
        <v>0</v>
      </c>
      <c r="T485">
        <v>0</v>
      </c>
      <c r="U485">
        <v>0</v>
      </c>
      <c r="V485">
        <v>0</v>
      </c>
      <c r="W485">
        <v>0</v>
      </c>
      <c r="X485">
        <v>0</v>
      </c>
      <c r="Y485">
        <v>0</v>
      </c>
      <c r="Z485">
        <v>0</v>
      </c>
      <c r="AA485">
        <v>0</v>
      </c>
      <c r="AB485">
        <v>0</v>
      </c>
      <c r="AC485">
        <v>0</v>
      </c>
      <c r="AD485">
        <v>0</v>
      </c>
      <c r="AE485">
        <v>0</v>
      </c>
      <c r="AF485">
        <v>0</v>
      </c>
      <c r="AG485">
        <v>0</v>
      </c>
      <c r="AH485">
        <v>0</v>
      </c>
      <c r="AI485">
        <v>0</v>
      </c>
      <c r="AJ485">
        <v>0</v>
      </c>
      <c r="AK485">
        <v>0</v>
      </c>
      <c r="AL485">
        <v>0</v>
      </c>
      <c r="AM485">
        <v>0</v>
      </c>
      <c r="AN485">
        <v>0</v>
      </c>
      <c r="AO485">
        <v>0</v>
      </c>
      <c r="AP485">
        <v>0</v>
      </c>
      <c r="AQ485">
        <v>0</v>
      </c>
      <c r="AR485">
        <v>0</v>
      </c>
      <c r="AS485">
        <v>0</v>
      </c>
      <c r="AT485">
        <v>0</v>
      </c>
      <c r="AU485">
        <v>0</v>
      </c>
      <c r="AV485">
        <v>0</v>
      </c>
      <c r="AW485">
        <v>0</v>
      </c>
      <c r="AX485">
        <v>0</v>
      </c>
      <c r="AY485">
        <v>0</v>
      </c>
      <c r="AZ485">
        <v>0</v>
      </c>
      <c r="BA485">
        <v>0</v>
      </c>
      <c r="BB485">
        <v>0</v>
      </c>
      <c r="BC485">
        <v>0</v>
      </c>
      <c r="BD485">
        <v>0</v>
      </c>
      <c r="BE485">
        <v>0</v>
      </c>
      <c r="BF485">
        <v>0</v>
      </c>
      <c r="BG485">
        <v>0</v>
      </c>
      <c r="BH485">
        <v>0</v>
      </c>
      <c r="BI485">
        <v>0</v>
      </c>
      <c r="BJ485">
        <v>0</v>
      </c>
      <c r="BK485">
        <v>0</v>
      </c>
      <c r="BL485">
        <v>0</v>
      </c>
      <c r="BM485">
        <v>0</v>
      </c>
      <c r="BN485">
        <v>0</v>
      </c>
      <c r="BO485">
        <v>0</v>
      </c>
      <c r="BP485">
        <v>0</v>
      </c>
      <c r="BQ485">
        <v>0</v>
      </c>
      <c r="BR485">
        <v>0</v>
      </c>
      <c r="BS485">
        <v>0</v>
      </c>
      <c r="BT485">
        <v>0</v>
      </c>
      <c r="BU485">
        <v>0</v>
      </c>
      <c r="BV485">
        <v>0</v>
      </c>
      <c r="BW485">
        <v>0</v>
      </c>
      <c r="BX485">
        <v>0</v>
      </c>
      <c r="BY485">
        <v>0</v>
      </c>
      <c r="BZ485">
        <v>0</v>
      </c>
      <c r="CA485">
        <v>0</v>
      </c>
      <c r="CB485">
        <v>0</v>
      </c>
    </row>
    <row r="486" spans="1:80" x14ac:dyDescent="0.2">
      <c r="A486">
        <v>0</v>
      </c>
      <c r="B486">
        <v>0</v>
      </c>
      <c r="C486">
        <v>0</v>
      </c>
      <c r="D486">
        <v>0</v>
      </c>
      <c r="E486">
        <v>0</v>
      </c>
      <c r="F486">
        <v>0</v>
      </c>
      <c r="G486">
        <v>0</v>
      </c>
      <c r="H486">
        <v>0</v>
      </c>
      <c r="I486">
        <v>0</v>
      </c>
      <c r="J486">
        <v>0</v>
      </c>
      <c r="K486">
        <v>0</v>
      </c>
      <c r="L486">
        <v>0</v>
      </c>
      <c r="M486">
        <v>0</v>
      </c>
      <c r="N486">
        <v>0</v>
      </c>
      <c r="O486">
        <v>0</v>
      </c>
      <c r="P486">
        <v>0</v>
      </c>
      <c r="Q486">
        <v>0</v>
      </c>
      <c r="R486">
        <v>0</v>
      </c>
      <c r="S486">
        <v>0</v>
      </c>
      <c r="T486">
        <v>0</v>
      </c>
      <c r="U486">
        <v>0</v>
      </c>
      <c r="V486">
        <v>0</v>
      </c>
      <c r="W486">
        <v>0</v>
      </c>
      <c r="X486">
        <v>0</v>
      </c>
      <c r="Y486">
        <v>0</v>
      </c>
      <c r="Z486">
        <v>0</v>
      </c>
      <c r="AA486">
        <v>0</v>
      </c>
      <c r="AB486">
        <v>0</v>
      </c>
      <c r="AC486">
        <v>0</v>
      </c>
      <c r="AD486">
        <v>0</v>
      </c>
      <c r="AE486">
        <v>0</v>
      </c>
      <c r="AF486">
        <v>0</v>
      </c>
      <c r="AG486">
        <v>0</v>
      </c>
      <c r="AH486">
        <v>0</v>
      </c>
      <c r="AI486">
        <v>0</v>
      </c>
      <c r="AJ486">
        <v>0</v>
      </c>
      <c r="AK486">
        <v>0</v>
      </c>
      <c r="AL486">
        <v>0</v>
      </c>
      <c r="AM486">
        <v>0</v>
      </c>
      <c r="AN486">
        <v>0</v>
      </c>
      <c r="AO486">
        <v>0</v>
      </c>
      <c r="AP486">
        <v>0</v>
      </c>
      <c r="AQ486">
        <v>0</v>
      </c>
      <c r="AR486">
        <v>0</v>
      </c>
      <c r="AS486">
        <v>0</v>
      </c>
      <c r="AT486">
        <v>0</v>
      </c>
      <c r="AU486">
        <v>0</v>
      </c>
      <c r="AV486">
        <v>0</v>
      </c>
      <c r="AW486">
        <v>0</v>
      </c>
      <c r="AX486">
        <v>0</v>
      </c>
      <c r="AY486">
        <v>0</v>
      </c>
      <c r="AZ486">
        <v>0</v>
      </c>
      <c r="BA486">
        <v>0</v>
      </c>
      <c r="BB486">
        <v>0</v>
      </c>
      <c r="BC486">
        <v>0</v>
      </c>
      <c r="BD486">
        <v>0</v>
      </c>
      <c r="BE486">
        <v>0</v>
      </c>
      <c r="BF486">
        <v>0</v>
      </c>
      <c r="BG486">
        <v>0</v>
      </c>
      <c r="BH486">
        <v>0</v>
      </c>
      <c r="BI486">
        <v>0</v>
      </c>
      <c r="BJ486">
        <v>0</v>
      </c>
      <c r="BK486">
        <v>0</v>
      </c>
      <c r="BL486">
        <v>0</v>
      </c>
      <c r="BM486">
        <v>0</v>
      </c>
      <c r="BN486">
        <v>0</v>
      </c>
      <c r="BO486">
        <v>0</v>
      </c>
      <c r="BP486">
        <v>0</v>
      </c>
      <c r="BQ486">
        <v>0</v>
      </c>
      <c r="BR486">
        <v>0</v>
      </c>
      <c r="BS486">
        <v>0</v>
      </c>
      <c r="BT486">
        <v>0</v>
      </c>
      <c r="BU486">
        <v>0</v>
      </c>
      <c r="BV486">
        <v>0</v>
      </c>
      <c r="BW486">
        <v>0</v>
      </c>
      <c r="BX486">
        <v>0</v>
      </c>
      <c r="BY486">
        <v>0</v>
      </c>
      <c r="BZ486">
        <v>0</v>
      </c>
      <c r="CA486">
        <v>0</v>
      </c>
      <c r="CB486">
        <v>0</v>
      </c>
    </row>
    <row r="487" spans="1:80" x14ac:dyDescent="0.2">
      <c r="A487">
        <v>0</v>
      </c>
      <c r="B487">
        <v>0</v>
      </c>
      <c r="C487">
        <v>0</v>
      </c>
      <c r="D487">
        <v>0</v>
      </c>
      <c r="E487">
        <v>0</v>
      </c>
      <c r="F487">
        <v>0</v>
      </c>
      <c r="G487">
        <v>0</v>
      </c>
      <c r="H487">
        <v>0</v>
      </c>
      <c r="I487">
        <v>0</v>
      </c>
      <c r="J487">
        <v>0</v>
      </c>
      <c r="K487">
        <v>0</v>
      </c>
      <c r="L487">
        <v>0</v>
      </c>
      <c r="M487">
        <v>0</v>
      </c>
      <c r="N487">
        <v>0</v>
      </c>
      <c r="O487">
        <v>0</v>
      </c>
      <c r="P487">
        <v>0</v>
      </c>
      <c r="Q487">
        <v>0</v>
      </c>
      <c r="R487">
        <v>0</v>
      </c>
      <c r="S487">
        <v>0</v>
      </c>
      <c r="T487">
        <v>0</v>
      </c>
      <c r="U487">
        <v>0</v>
      </c>
      <c r="V487">
        <v>0</v>
      </c>
      <c r="W487">
        <v>0</v>
      </c>
      <c r="X487">
        <v>0</v>
      </c>
      <c r="Y487">
        <v>0</v>
      </c>
      <c r="Z487">
        <v>0</v>
      </c>
      <c r="AA487">
        <v>0</v>
      </c>
      <c r="AB487">
        <v>0</v>
      </c>
      <c r="AC487">
        <v>0</v>
      </c>
      <c r="AD487">
        <v>0</v>
      </c>
      <c r="AE487">
        <v>0</v>
      </c>
      <c r="AF487">
        <v>0</v>
      </c>
      <c r="AG487">
        <v>0</v>
      </c>
      <c r="AH487">
        <v>0</v>
      </c>
      <c r="AI487">
        <v>0</v>
      </c>
      <c r="AJ487">
        <v>0</v>
      </c>
      <c r="AK487">
        <v>0</v>
      </c>
      <c r="AL487">
        <v>0</v>
      </c>
      <c r="AM487">
        <v>0</v>
      </c>
      <c r="AN487">
        <v>0</v>
      </c>
      <c r="AO487">
        <v>0</v>
      </c>
      <c r="AP487">
        <v>0</v>
      </c>
      <c r="AQ487">
        <v>0</v>
      </c>
      <c r="AR487">
        <v>0</v>
      </c>
      <c r="AS487">
        <v>0</v>
      </c>
      <c r="AT487">
        <v>0</v>
      </c>
      <c r="AU487">
        <v>0</v>
      </c>
      <c r="AV487">
        <v>0</v>
      </c>
      <c r="AW487">
        <v>0</v>
      </c>
      <c r="AX487">
        <v>0</v>
      </c>
      <c r="AY487">
        <v>0</v>
      </c>
      <c r="AZ487">
        <v>0</v>
      </c>
      <c r="BA487">
        <v>0</v>
      </c>
      <c r="BB487">
        <v>0</v>
      </c>
      <c r="BC487">
        <v>0</v>
      </c>
      <c r="BD487">
        <v>0</v>
      </c>
      <c r="BE487">
        <v>0</v>
      </c>
      <c r="BF487">
        <v>0</v>
      </c>
      <c r="BG487">
        <v>0</v>
      </c>
      <c r="BH487">
        <v>0</v>
      </c>
      <c r="BI487">
        <v>0</v>
      </c>
      <c r="BJ487">
        <v>0</v>
      </c>
      <c r="BK487">
        <v>0</v>
      </c>
      <c r="BL487">
        <v>0</v>
      </c>
      <c r="BM487">
        <v>0</v>
      </c>
      <c r="BN487">
        <v>0</v>
      </c>
      <c r="BO487">
        <v>0</v>
      </c>
      <c r="BP487">
        <v>0</v>
      </c>
      <c r="BQ487">
        <v>0</v>
      </c>
      <c r="BR487">
        <v>0</v>
      </c>
      <c r="BS487">
        <v>0</v>
      </c>
      <c r="BT487">
        <v>0</v>
      </c>
      <c r="BU487">
        <v>0</v>
      </c>
      <c r="BV487">
        <v>0</v>
      </c>
      <c r="BW487">
        <v>0</v>
      </c>
      <c r="BX487">
        <v>0</v>
      </c>
      <c r="BY487">
        <v>0</v>
      </c>
      <c r="BZ487">
        <v>0</v>
      </c>
      <c r="CA487">
        <v>0</v>
      </c>
      <c r="CB487">
        <v>0</v>
      </c>
    </row>
    <row r="488" spans="1:80" x14ac:dyDescent="0.2">
      <c r="A488">
        <v>0</v>
      </c>
      <c r="B488">
        <v>0</v>
      </c>
      <c r="C488">
        <v>0</v>
      </c>
      <c r="D488">
        <v>0</v>
      </c>
      <c r="E488">
        <v>0</v>
      </c>
      <c r="F488">
        <v>0</v>
      </c>
      <c r="G488">
        <v>0</v>
      </c>
      <c r="H488">
        <v>0</v>
      </c>
      <c r="I488">
        <v>0</v>
      </c>
      <c r="J488">
        <v>0</v>
      </c>
      <c r="K488">
        <v>0</v>
      </c>
      <c r="L488">
        <v>0</v>
      </c>
      <c r="M488">
        <v>0</v>
      </c>
      <c r="N488">
        <v>0</v>
      </c>
      <c r="O488">
        <v>0</v>
      </c>
      <c r="P488">
        <v>0</v>
      </c>
      <c r="Q488">
        <v>0</v>
      </c>
      <c r="R488">
        <v>0</v>
      </c>
      <c r="S488">
        <v>0</v>
      </c>
      <c r="T488">
        <v>0</v>
      </c>
      <c r="U488">
        <v>0</v>
      </c>
      <c r="V488">
        <v>0</v>
      </c>
      <c r="W488">
        <v>0</v>
      </c>
      <c r="X488">
        <v>0</v>
      </c>
      <c r="Y488">
        <v>0</v>
      </c>
      <c r="Z488">
        <v>0</v>
      </c>
      <c r="AA488">
        <v>0</v>
      </c>
      <c r="AB488">
        <v>0</v>
      </c>
      <c r="AC488">
        <v>0</v>
      </c>
      <c r="AD488">
        <v>0</v>
      </c>
      <c r="AE488">
        <v>0</v>
      </c>
      <c r="AF488">
        <v>0</v>
      </c>
      <c r="AG488">
        <v>0</v>
      </c>
      <c r="AH488">
        <v>0</v>
      </c>
      <c r="AI488">
        <v>0</v>
      </c>
      <c r="AJ488">
        <v>0</v>
      </c>
      <c r="AK488">
        <v>0</v>
      </c>
      <c r="AL488">
        <v>0</v>
      </c>
      <c r="AM488">
        <v>0</v>
      </c>
      <c r="AN488">
        <v>0</v>
      </c>
      <c r="AO488">
        <v>0</v>
      </c>
      <c r="AP488">
        <v>0</v>
      </c>
      <c r="AQ488">
        <v>0</v>
      </c>
      <c r="AR488">
        <v>0</v>
      </c>
      <c r="AS488">
        <v>0</v>
      </c>
      <c r="AT488">
        <v>0</v>
      </c>
      <c r="AU488">
        <v>0</v>
      </c>
      <c r="AV488">
        <v>0</v>
      </c>
      <c r="AW488">
        <v>0</v>
      </c>
      <c r="AX488">
        <v>0</v>
      </c>
      <c r="AY488">
        <v>0</v>
      </c>
      <c r="AZ488">
        <v>0</v>
      </c>
      <c r="BA488">
        <v>0</v>
      </c>
      <c r="BB488">
        <v>0</v>
      </c>
      <c r="BC488">
        <v>0</v>
      </c>
      <c r="BD488">
        <v>0</v>
      </c>
      <c r="BE488">
        <v>0</v>
      </c>
      <c r="BF488">
        <v>0</v>
      </c>
      <c r="BG488">
        <v>0</v>
      </c>
      <c r="BH488">
        <v>0</v>
      </c>
      <c r="BI488">
        <v>0</v>
      </c>
      <c r="BJ488">
        <v>0</v>
      </c>
      <c r="BK488">
        <v>0</v>
      </c>
      <c r="BL488">
        <v>0</v>
      </c>
      <c r="BM488">
        <v>0</v>
      </c>
      <c r="BN488">
        <v>0</v>
      </c>
      <c r="BO488">
        <v>0</v>
      </c>
      <c r="BP488">
        <v>0</v>
      </c>
      <c r="BQ488">
        <v>0</v>
      </c>
      <c r="BR488">
        <v>0</v>
      </c>
      <c r="BS488">
        <v>0</v>
      </c>
      <c r="BT488">
        <v>0</v>
      </c>
      <c r="BU488">
        <v>0</v>
      </c>
      <c r="BV488">
        <v>0</v>
      </c>
      <c r="BW488">
        <v>0</v>
      </c>
      <c r="BX488">
        <v>0</v>
      </c>
      <c r="BY488">
        <v>0</v>
      </c>
      <c r="BZ488">
        <v>0</v>
      </c>
      <c r="CA488">
        <v>0</v>
      </c>
      <c r="CB488">
        <v>0</v>
      </c>
    </row>
    <row r="489" spans="1:80" x14ac:dyDescent="0.2">
      <c r="A489">
        <v>0</v>
      </c>
      <c r="B489">
        <v>0</v>
      </c>
      <c r="C489">
        <v>0</v>
      </c>
      <c r="D489">
        <v>0</v>
      </c>
      <c r="E489">
        <v>0</v>
      </c>
      <c r="F489">
        <v>0</v>
      </c>
      <c r="G489">
        <v>0</v>
      </c>
      <c r="H489">
        <v>0</v>
      </c>
      <c r="I489">
        <v>0</v>
      </c>
      <c r="J489">
        <v>0</v>
      </c>
      <c r="K489">
        <v>0</v>
      </c>
      <c r="L489">
        <v>0</v>
      </c>
      <c r="M489">
        <v>0</v>
      </c>
      <c r="N489">
        <v>0</v>
      </c>
      <c r="O489">
        <v>0</v>
      </c>
      <c r="P489">
        <v>0</v>
      </c>
      <c r="Q489">
        <v>0</v>
      </c>
      <c r="R489">
        <v>0</v>
      </c>
      <c r="S489">
        <v>0</v>
      </c>
      <c r="T489">
        <v>0</v>
      </c>
      <c r="U489">
        <v>0</v>
      </c>
      <c r="V489">
        <v>0</v>
      </c>
      <c r="W489">
        <v>0</v>
      </c>
      <c r="X489">
        <v>0</v>
      </c>
      <c r="Y489">
        <v>0</v>
      </c>
      <c r="Z489">
        <v>0</v>
      </c>
      <c r="AA489">
        <v>0</v>
      </c>
      <c r="AB489">
        <v>0</v>
      </c>
      <c r="AC489">
        <v>0</v>
      </c>
      <c r="AD489">
        <v>0</v>
      </c>
      <c r="AE489">
        <v>0</v>
      </c>
      <c r="AF489">
        <v>0</v>
      </c>
      <c r="AG489">
        <v>0</v>
      </c>
      <c r="AH489">
        <v>0</v>
      </c>
      <c r="AI489">
        <v>0</v>
      </c>
      <c r="AJ489">
        <v>0</v>
      </c>
      <c r="AK489">
        <v>0</v>
      </c>
      <c r="AL489">
        <v>0</v>
      </c>
      <c r="AM489">
        <v>0</v>
      </c>
      <c r="AN489">
        <v>0</v>
      </c>
      <c r="AO489">
        <v>0</v>
      </c>
      <c r="AP489">
        <v>0</v>
      </c>
      <c r="AQ489">
        <v>0</v>
      </c>
      <c r="AR489">
        <v>0</v>
      </c>
      <c r="AS489">
        <v>0</v>
      </c>
      <c r="AT489">
        <v>0</v>
      </c>
      <c r="AU489">
        <v>0</v>
      </c>
      <c r="AV489">
        <v>0</v>
      </c>
      <c r="AW489">
        <v>0</v>
      </c>
      <c r="AX489">
        <v>0</v>
      </c>
      <c r="AY489">
        <v>0</v>
      </c>
      <c r="AZ489">
        <v>0</v>
      </c>
      <c r="BA489">
        <v>0</v>
      </c>
      <c r="BB489">
        <v>0</v>
      </c>
      <c r="BC489">
        <v>0</v>
      </c>
      <c r="BD489">
        <v>0</v>
      </c>
      <c r="BE489">
        <v>0</v>
      </c>
      <c r="BF489">
        <v>0</v>
      </c>
      <c r="BG489">
        <v>0</v>
      </c>
      <c r="BH489">
        <v>0</v>
      </c>
      <c r="BI489">
        <v>0</v>
      </c>
      <c r="BJ489">
        <v>0</v>
      </c>
      <c r="BK489">
        <v>0</v>
      </c>
      <c r="BL489">
        <v>0</v>
      </c>
      <c r="BM489">
        <v>0</v>
      </c>
      <c r="BN489">
        <v>0</v>
      </c>
      <c r="BO489">
        <v>0</v>
      </c>
      <c r="BP489">
        <v>0</v>
      </c>
      <c r="BQ489">
        <v>0</v>
      </c>
      <c r="BR489">
        <v>0</v>
      </c>
      <c r="BS489">
        <v>0</v>
      </c>
      <c r="BT489">
        <v>0</v>
      </c>
      <c r="BU489">
        <v>0</v>
      </c>
      <c r="BV489">
        <v>0</v>
      </c>
      <c r="BW489">
        <v>0</v>
      </c>
      <c r="BX489">
        <v>0</v>
      </c>
      <c r="BY489">
        <v>0</v>
      </c>
      <c r="BZ489">
        <v>0</v>
      </c>
      <c r="CA489">
        <v>0</v>
      </c>
      <c r="CB489">
        <v>0</v>
      </c>
    </row>
    <row r="490" spans="1:80" x14ac:dyDescent="0.2">
      <c r="A490">
        <v>0</v>
      </c>
      <c r="B490">
        <v>0</v>
      </c>
      <c r="C490">
        <v>0</v>
      </c>
      <c r="D490">
        <v>0</v>
      </c>
      <c r="E490">
        <v>0</v>
      </c>
      <c r="F490">
        <v>0</v>
      </c>
      <c r="G490">
        <v>0</v>
      </c>
      <c r="H490">
        <v>0</v>
      </c>
      <c r="I490">
        <v>0</v>
      </c>
      <c r="J490">
        <v>0</v>
      </c>
      <c r="K490">
        <v>0</v>
      </c>
      <c r="L490">
        <v>0</v>
      </c>
      <c r="M490">
        <v>0</v>
      </c>
      <c r="N490">
        <v>0</v>
      </c>
      <c r="O490">
        <v>0</v>
      </c>
      <c r="P490">
        <v>0</v>
      </c>
      <c r="Q490">
        <v>0</v>
      </c>
      <c r="R490">
        <v>0</v>
      </c>
      <c r="S490">
        <v>0</v>
      </c>
      <c r="T490">
        <v>0</v>
      </c>
      <c r="U490">
        <v>0</v>
      </c>
      <c r="V490">
        <v>0</v>
      </c>
      <c r="W490">
        <v>0</v>
      </c>
      <c r="X490">
        <v>0</v>
      </c>
      <c r="Y490">
        <v>0</v>
      </c>
      <c r="Z490">
        <v>0</v>
      </c>
      <c r="AA490">
        <v>0</v>
      </c>
      <c r="AB490">
        <v>0</v>
      </c>
      <c r="AC490">
        <v>0</v>
      </c>
      <c r="AD490">
        <v>0</v>
      </c>
      <c r="AE490">
        <v>0</v>
      </c>
      <c r="AF490">
        <v>0</v>
      </c>
      <c r="AG490">
        <v>0</v>
      </c>
      <c r="AH490">
        <v>0</v>
      </c>
      <c r="AI490">
        <v>0</v>
      </c>
      <c r="AJ490">
        <v>0</v>
      </c>
      <c r="AK490">
        <v>0</v>
      </c>
      <c r="AL490">
        <v>0</v>
      </c>
      <c r="AM490">
        <v>0</v>
      </c>
      <c r="AN490">
        <v>0</v>
      </c>
      <c r="AO490">
        <v>0</v>
      </c>
      <c r="AP490">
        <v>0</v>
      </c>
      <c r="AQ490">
        <v>0</v>
      </c>
      <c r="AR490">
        <v>0</v>
      </c>
      <c r="AS490">
        <v>0</v>
      </c>
      <c r="AT490">
        <v>0</v>
      </c>
      <c r="AU490">
        <v>0</v>
      </c>
      <c r="AV490">
        <v>0</v>
      </c>
      <c r="AW490">
        <v>0</v>
      </c>
      <c r="AX490">
        <v>0</v>
      </c>
      <c r="AY490">
        <v>0</v>
      </c>
      <c r="AZ490">
        <v>0</v>
      </c>
      <c r="BA490">
        <v>0</v>
      </c>
      <c r="BB490">
        <v>0</v>
      </c>
      <c r="BC490">
        <v>0</v>
      </c>
      <c r="BD490">
        <v>0</v>
      </c>
      <c r="BE490">
        <v>0</v>
      </c>
      <c r="BF490">
        <v>0</v>
      </c>
      <c r="BG490">
        <v>0</v>
      </c>
      <c r="BH490">
        <v>0</v>
      </c>
      <c r="BI490">
        <v>0</v>
      </c>
      <c r="BJ490">
        <v>0</v>
      </c>
      <c r="BK490">
        <v>0</v>
      </c>
      <c r="BL490">
        <v>0</v>
      </c>
      <c r="BM490">
        <v>0</v>
      </c>
      <c r="BN490">
        <v>0</v>
      </c>
      <c r="BO490">
        <v>0</v>
      </c>
      <c r="BP490">
        <v>0</v>
      </c>
      <c r="BQ490">
        <v>0</v>
      </c>
      <c r="BR490">
        <v>0</v>
      </c>
      <c r="BS490">
        <v>0</v>
      </c>
      <c r="BT490">
        <v>0</v>
      </c>
      <c r="BU490">
        <v>0</v>
      </c>
      <c r="BV490">
        <v>0</v>
      </c>
      <c r="BW490">
        <v>0</v>
      </c>
      <c r="BX490">
        <v>0</v>
      </c>
      <c r="BY490">
        <v>0</v>
      </c>
      <c r="BZ490">
        <v>0</v>
      </c>
      <c r="CA490">
        <v>0</v>
      </c>
      <c r="CB490">
        <v>0</v>
      </c>
    </row>
    <row r="491" spans="1:80" x14ac:dyDescent="0.2">
      <c r="A491">
        <v>0</v>
      </c>
      <c r="B491">
        <v>0</v>
      </c>
      <c r="C491">
        <v>0</v>
      </c>
      <c r="D491">
        <v>0</v>
      </c>
      <c r="E491">
        <v>0</v>
      </c>
      <c r="F491">
        <v>0</v>
      </c>
      <c r="G491">
        <v>0</v>
      </c>
      <c r="H491">
        <v>0</v>
      </c>
      <c r="I491">
        <v>0</v>
      </c>
      <c r="J491">
        <v>0</v>
      </c>
      <c r="K491">
        <v>0</v>
      </c>
      <c r="L491">
        <v>0</v>
      </c>
      <c r="M491">
        <v>0</v>
      </c>
      <c r="N491">
        <v>0</v>
      </c>
      <c r="O491">
        <v>0</v>
      </c>
      <c r="P491">
        <v>0</v>
      </c>
      <c r="Q491">
        <v>0</v>
      </c>
      <c r="R491">
        <v>0</v>
      </c>
      <c r="S491">
        <v>0</v>
      </c>
      <c r="T491">
        <v>0</v>
      </c>
      <c r="U491">
        <v>0</v>
      </c>
      <c r="V491">
        <v>0</v>
      </c>
      <c r="W491">
        <v>0</v>
      </c>
      <c r="X491">
        <v>0</v>
      </c>
      <c r="Y491">
        <v>0</v>
      </c>
      <c r="Z491">
        <v>0</v>
      </c>
      <c r="AA491">
        <v>0</v>
      </c>
      <c r="AB491">
        <v>0</v>
      </c>
      <c r="AC491">
        <v>0</v>
      </c>
      <c r="AD491">
        <v>0</v>
      </c>
      <c r="AE491">
        <v>0</v>
      </c>
      <c r="AF491">
        <v>0</v>
      </c>
      <c r="AG491">
        <v>0</v>
      </c>
      <c r="AH491">
        <v>0</v>
      </c>
      <c r="AI491">
        <v>0</v>
      </c>
      <c r="AJ491">
        <v>0</v>
      </c>
      <c r="AK491">
        <v>0</v>
      </c>
      <c r="AL491">
        <v>0</v>
      </c>
      <c r="AM491">
        <v>0</v>
      </c>
      <c r="AN491">
        <v>0</v>
      </c>
      <c r="AO491">
        <v>0</v>
      </c>
      <c r="AP491">
        <v>0</v>
      </c>
      <c r="AQ491">
        <v>0</v>
      </c>
      <c r="AR491">
        <v>0</v>
      </c>
      <c r="AS491">
        <v>0</v>
      </c>
      <c r="AT491">
        <v>0</v>
      </c>
      <c r="AU491">
        <v>0</v>
      </c>
      <c r="AV491">
        <v>0</v>
      </c>
      <c r="AW491">
        <v>0</v>
      </c>
      <c r="AX491">
        <v>0</v>
      </c>
      <c r="AY491">
        <v>0</v>
      </c>
      <c r="AZ491">
        <v>0</v>
      </c>
      <c r="BA491">
        <v>0</v>
      </c>
      <c r="BB491">
        <v>0</v>
      </c>
      <c r="BC491">
        <v>0</v>
      </c>
      <c r="BD491">
        <v>0</v>
      </c>
      <c r="BE491">
        <v>0</v>
      </c>
      <c r="BF491">
        <v>0</v>
      </c>
      <c r="BG491">
        <v>0</v>
      </c>
      <c r="BH491">
        <v>0</v>
      </c>
      <c r="BI491">
        <v>0</v>
      </c>
      <c r="BJ491">
        <v>0</v>
      </c>
      <c r="BK491">
        <v>0</v>
      </c>
      <c r="BL491">
        <v>0</v>
      </c>
      <c r="BM491">
        <v>0</v>
      </c>
      <c r="BN491">
        <v>0</v>
      </c>
      <c r="BO491">
        <v>0</v>
      </c>
      <c r="BP491">
        <v>0</v>
      </c>
      <c r="BQ491">
        <v>0</v>
      </c>
      <c r="BR491">
        <v>0</v>
      </c>
      <c r="BS491">
        <v>0</v>
      </c>
      <c r="BT491">
        <v>0</v>
      </c>
      <c r="BU491">
        <v>0</v>
      </c>
      <c r="BV491">
        <v>0</v>
      </c>
      <c r="BW491">
        <v>0</v>
      </c>
      <c r="BX491">
        <v>0</v>
      </c>
      <c r="BY491">
        <v>0</v>
      </c>
      <c r="BZ491">
        <v>0</v>
      </c>
      <c r="CA491">
        <v>0</v>
      </c>
      <c r="CB491">
        <v>0</v>
      </c>
    </row>
    <row r="492" spans="1:80" x14ac:dyDescent="0.2">
      <c r="A492">
        <v>0</v>
      </c>
      <c r="B492">
        <v>0</v>
      </c>
      <c r="C492">
        <v>0</v>
      </c>
      <c r="D492">
        <v>0</v>
      </c>
      <c r="E492">
        <v>0</v>
      </c>
      <c r="F492">
        <v>0</v>
      </c>
      <c r="G492">
        <v>0</v>
      </c>
      <c r="H492">
        <v>0</v>
      </c>
      <c r="I492">
        <v>0</v>
      </c>
      <c r="J492">
        <v>0</v>
      </c>
      <c r="K492">
        <v>0</v>
      </c>
      <c r="L492">
        <v>0</v>
      </c>
      <c r="M492">
        <v>0</v>
      </c>
      <c r="N492">
        <v>0</v>
      </c>
      <c r="O492">
        <v>0</v>
      </c>
      <c r="P492">
        <v>0</v>
      </c>
      <c r="Q492">
        <v>0</v>
      </c>
      <c r="R492">
        <v>0</v>
      </c>
      <c r="S492">
        <v>0</v>
      </c>
      <c r="T492">
        <v>0</v>
      </c>
      <c r="U492">
        <v>0</v>
      </c>
      <c r="V492">
        <v>0</v>
      </c>
      <c r="W492">
        <v>0</v>
      </c>
      <c r="X492">
        <v>0</v>
      </c>
      <c r="Y492">
        <v>0</v>
      </c>
      <c r="Z492">
        <v>0</v>
      </c>
      <c r="AA492">
        <v>0</v>
      </c>
      <c r="AB492">
        <v>0</v>
      </c>
      <c r="AC492">
        <v>0</v>
      </c>
      <c r="AD492">
        <v>0</v>
      </c>
      <c r="AE492">
        <v>0</v>
      </c>
      <c r="AF492">
        <v>0</v>
      </c>
      <c r="AG492">
        <v>0</v>
      </c>
      <c r="AH492">
        <v>0</v>
      </c>
      <c r="AI492">
        <v>0</v>
      </c>
      <c r="AJ492">
        <v>0</v>
      </c>
      <c r="AK492">
        <v>0</v>
      </c>
      <c r="AL492">
        <v>0</v>
      </c>
      <c r="AM492">
        <v>0</v>
      </c>
      <c r="AN492">
        <v>0</v>
      </c>
      <c r="AO492">
        <v>0</v>
      </c>
      <c r="AP492">
        <v>0</v>
      </c>
      <c r="AQ492">
        <v>0</v>
      </c>
      <c r="AR492">
        <v>0</v>
      </c>
      <c r="AS492">
        <v>0</v>
      </c>
      <c r="AT492">
        <v>0</v>
      </c>
      <c r="AU492">
        <v>0</v>
      </c>
      <c r="AV492">
        <v>0</v>
      </c>
      <c r="AW492">
        <v>0</v>
      </c>
      <c r="AX492">
        <v>0</v>
      </c>
      <c r="AY492">
        <v>0</v>
      </c>
      <c r="AZ492">
        <v>0</v>
      </c>
      <c r="BA492">
        <v>0</v>
      </c>
      <c r="BB492">
        <v>0</v>
      </c>
      <c r="BC492">
        <v>0</v>
      </c>
      <c r="BD492">
        <v>0</v>
      </c>
      <c r="BE492">
        <v>0</v>
      </c>
      <c r="BF492">
        <v>0</v>
      </c>
      <c r="BG492">
        <v>0</v>
      </c>
      <c r="BH492">
        <v>0</v>
      </c>
      <c r="BI492">
        <v>0</v>
      </c>
      <c r="BJ492">
        <v>0</v>
      </c>
      <c r="BK492">
        <v>0</v>
      </c>
      <c r="BL492">
        <v>0</v>
      </c>
      <c r="BM492">
        <v>0</v>
      </c>
      <c r="BN492">
        <v>0</v>
      </c>
      <c r="BO492">
        <v>0</v>
      </c>
      <c r="BP492">
        <v>0</v>
      </c>
      <c r="BQ492">
        <v>0</v>
      </c>
      <c r="BR492">
        <v>0</v>
      </c>
      <c r="BS492">
        <v>0</v>
      </c>
      <c r="BT492">
        <v>0</v>
      </c>
      <c r="BU492">
        <v>0</v>
      </c>
      <c r="BV492">
        <v>0</v>
      </c>
      <c r="BW492">
        <v>0</v>
      </c>
      <c r="BX492">
        <v>0</v>
      </c>
      <c r="BY492">
        <v>0</v>
      </c>
      <c r="BZ492">
        <v>0</v>
      </c>
      <c r="CA492">
        <v>0</v>
      </c>
      <c r="CB492">
        <v>0</v>
      </c>
    </row>
    <row r="493" spans="1:80" x14ac:dyDescent="0.2">
      <c r="A493">
        <v>0</v>
      </c>
      <c r="B493">
        <v>0</v>
      </c>
      <c r="C493">
        <v>0</v>
      </c>
      <c r="D493">
        <v>0</v>
      </c>
      <c r="E493">
        <v>0</v>
      </c>
      <c r="F493">
        <v>0</v>
      </c>
      <c r="G493">
        <v>0</v>
      </c>
      <c r="H493">
        <v>0</v>
      </c>
      <c r="I493">
        <v>0</v>
      </c>
      <c r="J493">
        <v>0</v>
      </c>
      <c r="K493">
        <v>0</v>
      </c>
      <c r="L493">
        <v>0</v>
      </c>
      <c r="M493">
        <v>0</v>
      </c>
      <c r="N493">
        <v>0</v>
      </c>
      <c r="O493">
        <v>0</v>
      </c>
      <c r="P493">
        <v>0</v>
      </c>
      <c r="Q493">
        <v>0</v>
      </c>
      <c r="R493">
        <v>0</v>
      </c>
      <c r="S493">
        <v>0</v>
      </c>
      <c r="T493">
        <v>0</v>
      </c>
      <c r="U493">
        <v>0</v>
      </c>
      <c r="V493">
        <v>0</v>
      </c>
      <c r="W493">
        <v>0</v>
      </c>
      <c r="X493">
        <v>0</v>
      </c>
      <c r="Y493">
        <v>0</v>
      </c>
      <c r="Z493">
        <v>0</v>
      </c>
      <c r="AA493">
        <v>0</v>
      </c>
      <c r="AB493">
        <v>0</v>
      </c>
      <c r="AC493">
        <v>0</v>
      </c>
      <c r="AD493">
        <v>0</v>
      </c>
      <c r="AE493">
        <v>0</v>
      </c>
      <c r="AF493">
        <v>0</v>
      </c>
      <c r="AG493">
        <v>0</v>
      </c>
      <c r="AH493">
        <v>0</v>
      </c>
      <c r="AI493">
        <v>0</v>
      </c>
      <c r="AJ493">
        <v>0</v>
      </c>
      <c r="AK493">
        <v>0</v>
      </c>
      <c r="AL493">
        <v>0</v>
      </c>
      <c r="AM493">
        <v>0</v>
      </c>
      <c r="AN493">
        <v>0</v>
      </c>
      <c r="AO493">
        <v>0</v>
      </c>
      <c r="AP493">
        <v>0</v>
      </c>
      <c r="AQ493">
        <v>0</v>
      </c>
      <c r="AR493">
        <v>0</v>
      </c>
      <c r="AS493">
        <v>0</v>
      </c>
      <c r="AT493">
        <v>0</v>
      </c>
      <c r="AU493">
        <v>0</v>
      </c>
      <c r="AV493">
        <v>0</v>
      </c>
      <c r="AW493">
        <v>0</v>
      </c>
      <c r="AX493">
        <v>0</v>
      </c>
      <c r="AY493">
        <v>0</v>
      </c>
      <c r="AZ493">
        <v>0</v>
      </c>
      <c r="BA493">
        <v>0</v>
      </c>
      <c r="BB493">
        <v>0</v>
      </c>
      <c r="BC493">
        <v>0</v>
      </c>
      <c r="BD493">
        <v>0</v>
      </c>
      <c r="BE493">
        <v>0</v>
      </c>
      <c r="BF493">
        <v>0</v>
      </c>
      <c r="BG493">
        <v>0</v>
      </c>
      <c r="BH493">
        <v>0</v>
      </c>
      <c r="BI493">
        <v>0</v>
      </c>
      <c r="BJ493">
        <v>0</v>
      </c>
      <c r="BK493">
        <v>0</v>
      </c>
      <c r="BL493">
        <v>0</v>
      </c>
      <c r="BM493">
        <v>0</v>
      </c>
      <c r="BN493">
        <v>0</v>
      </c>
      <c r="BO493">
        <v>0</v>
      </c>
      <c r="BP493">
        <v>0</v>
      </c>
      <c r="BQ493">
        <v>0</v>
      </c>
      <c r="BR493">
        <v>0</v>
      </c>
      <c r="BS493">
        <v>0</v>
      </c>
      <c r="BT493">
        <v>0</v>
      </c>
      <c r="BU493">
        <v>0</v>
      </c>
      <c r="BV493">
        <v>0</v>
      </c>
      <c r="BW493">
        <v>0</v>
      </c>
      <c r="BX493">
        <v>0</v>
      </c>
      <c r="BY493">
        <v>0</v>
      </c>
      <c r="BZ493">
        <v>0</v>
      </c>
      <c r="CA493">
        <v>0</v>
      </c>
      <c r="CB493">
        <v>0</v>
      </c>
    </row>
    <row r="494" spans="1:80" x14ac:dyDescent="0.2">
      <c r="A494">
        <v>0</v>
      </c>
      <c r="B494">
        <v>0</v>
      </c>
      <c r="C494">
        <v>0</v>
      </c>
      <c r="D494">
        <v>0</v>
      </c>
      <c r="E494">
        <v>0</v>
      </c>
      <c r="F494">
        <v>0</v>
      </c>
      <c r="G494">
        <v>0</v>
      </c>
      <c r="H494">
        <v>0</v>
      </c>
      <c r="I494">
        <v>0</v>
      </c>
      <c r="J494">
        <v>0</v>
      </c>
      <c r="K494">
        <v>0</v>
      </c>
      <c r="L494">
        <v>0</v>
      </c>
      <c r="M494">
        <v>0</v>
      </c>
      <c r="N494">
        <v>0</v>
      </c>
      <c r="O494">
        <v>0</v>
      </c>
      <c r="P494">
        <v>0</v>
      </c>
      <c r="Q494">
        <v>0</v>
      </c>
      <c r="R494">
        <v>0</v>
      </c>
      <c r="S494">
        <v>0</v>
      </c>
      <c r="T494">
        <v>0</v>
      </c>
      <c r="U494">
        <v>0</v>
      </c>
      <c r="V494">
        <v>0</v>
      </c>
      <c r="W494">
        <v>0</v>
      </c>
      <c r="X494">
        <v>0</v>
      </c>
      <c r="Y494">
        <v>0</v>
      </c>
      <c r="Z494">
        <v>0</v>
      </c>
      <c r="AA494">
        <v>0</v>
      </c>
      <c r="AB494">
        <v>0</v>
      </c>
      <c r="AC494">
        <v>0</v>
      </c>
      <c r="AD494">
        <v>0</v>
      </c>
      <c r="AE494">
        <v>0</v>
      </c>
      <c r="AF494">
        <v>0</v>
      </c>
      <c r="AG494">
        <v>0</v>
      </c>
      <c r="AH494">
        <v>0</v>
      </c>
      <c r="AI494">
        <v>0</v>
      </c>
      <c r="AJ494">
        <v>0</v>
      </c>
      <c r="AK494">
        <v>0</v>
      </c>
      <c r="AL494">
        <v>0</v>
      </c>
      <c r="AM494">
        <v>0</v>
      </c>
      <c r="AN494">
        <v>0</v>
      </c>
      <c r="AO494">
        <v>0</v>
      </c>
      <c r="AP494">
        <v>0</v>
      </c>
      <c r="AQ494">
        <v>0</v>
      </c>
      <c r="AR494">
        <v>0</v>
      </c>
      <c r="AS494">
        <v>0</v>
      </c>
      <c r="AT494">
        <v>0</v>
      </c>
      <c r="AU494">
        <v>0</v>
      </c>
      <c r="AV494">
        <v>0</v>
      </c>
      <c r="AW494">
        <v>0</v>
      </c>
      <c r="AX494">
        <v>0</v>
      </c>
      <c r="AY494">
        <v>0</v>
      </c>
      <c r="AZ494">
        <v>0</v>
      </c>
      <c r="BA494">
        <v>0</v>
      </c>
      <c r="BB494">
        <v>0</v>
      </c>
      <c r="BC494">
        <v>0</v>
      </c>
      <c r="BD494">
        <v>0</v>
      </c>
      <c r="BE494">
        <v>0</v>
      </c>
      <c r="BF494">
        <v>0</v>
      </c>
      <c r="BG494">
        <v>0</v>
      </c>
      <c r="BH494">
        <v>0</v>
      </c>
      <c r="BI494">
        <v>0</v>
      </c>
      <c r="BJ494">
        <v>0</v>
      </c>
      <c r="BK494">
        <v>0</v>
      </c>
      <c r="BL494">
        <v>0</v>
      </c>
      <c r="BM494">
        <v>0</v>
      </c>
      <c r="BN494">
        <v>0</v>
      </c>
      <c r="BO494">
        <v>0</v>
      </c>
      <c r="BP494">
        <v>0</v>
      </c>
      <c r="BQ494">
        <v>0</v>
      </c>
      <c r="BR494">
        <v>0</v>
      </c>
      <c r="BS494">
        <v>0</v>
      </c>
      <c r="BT494">
        <v>0</v>
      </c>
      <c r="BU494">
        <v>0</v>
      </c>
      <c r="BV494">
        <v>0</v>
      </c>
      <c r="BW494">
        <v>0</v>
      </c>
      <c r="BX494">
        <v>0</v>
      </c>
      <c r="BY494">
        <v>0</v>
      </c>
      <c r="BZ494">
        <v>0</v>
      </c>
      <c r="CA494">
        <v>0</v>
      </c>
      <c r="CB494">
        <v>0</v>
      </c>
    </row>
    <row r="495" spans="1:80" x14ac:dyDescent="0.2">
      <c r="A495">
        <v>0</v>
      </c>
      <c r="B495">
        <v>0</v>
      </c>
      <c r="C495">
        <v>0</v>
      </c>
      <c r="D495">
        <v>0</v>
      </c>
      <c r="E495">
        <v>0</v>
      </c>
      <c r="F495">
        <v>0</v>
      </c>
      <c r="G495">
        <v>0</v>
      </c>
      <c r="H495">
        <v>0</v>
      </c>
      <c r="I495">
        <v>0</v>
      </c>
      <c r="J495">
        <v>0</v>
      </c>
      <c r="K495">
        <v>0</v>
      </c>
      <c r="L495">
        <v>0</v>
      </c>
      <c r="M495">
        <v>0</v>
      </c>
      <c r="N495">
        <v>0</v>
      </c>
      <c r="O495">
        <v>0</v>
      </c>
      <c r="P495">
        <v>0</v>
      </c>
      <c r="Q495">
        <v>0</v>
      </c>
      <c r="R495">
        <v>0</v>
      </c>
      <c r="S495">
        <v>0</v>
      </c>
      <c r="T495">
        <v>0</v>
      </c>
      <c r="U495">
        <v>0</v>
      </c>
      <c r="V495">
        <v>0</v>
      </c>
      <c r="W495">
        <v>0</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v>0</v>
      </c>
      <c r="AS495">
        <v>0</v>
      </c>
      <c r="AT495">
        <v>0</v>
      </c>
      <c r="AU495">
        <v>0</v>
      </c>
      <c r="AV495">
        <v>0</v>
      </c>
      <c r="AW495">
        <v>0</v>
      </c>
      <c r="AX495">
        <v>0</v>
      </c>
      <c r="AY495">
        <v>0</v>
      </c>
      <c r="AZ495">
        <v>0</v>
      </c>
      <c r="BA495">
        <v>0</v>
      </c>
      <c r="BB495">
        <v>0</v>
      </c>
      <c r="BC495">
        <v>0</v>
      </c>
      <c r="BD495">
        <v>0</v>
      </c>
      <c r="BE495">
        <v>0</v>
      </c>
      <c r="BF495">
        <v>0</v>
      </c>
      <c r="BG495">
        <v>0</v>
      </c>
      <c r="BH495">
        <v>0</v>
      </c>
      <c r="BI495">
        <v>0</v>
      </c>
      <c r="BJ495">
        <v>0</v>
      </c>
      <c r="BK495">
        <v>0</v>
      </c>
      <c r="BL495">
        <v>0</v>
      </c>
      <c r="BM495">
        <v>0</v>
      </c>
      <c r="BN495">
        <v>0</v>
      </c>
      <c r="BO495">
        <v>0</v>
      </c>
      <c r="BP495">
        <v>0</v>
      </c>
      <c r="BQ495">
        <v>0</v>
      </c>
      <c r="BR495">
        <v>0</v>
      </c>
      <c r="BS495">
        <v>0</v>
      </c>
      <c r="BT495">
        <v>0</v>
      </c>
      <c r="BU495">
        <v>0</v>
      </c>
      <c r="BV495">
        <v>0</v>
      </c>
      <c r="BW495">
        <v>0</v>
      </c>
      <c r="BX495">
        <v>0</v>
      </c>
      <c r="BY495">
        <v>0</v>
      </c>
      <c r="BZ495">
        <v>0</v>
      </c>
      <c r="CA495">
        <v>0</v>
      </c>
      <c r="CB495">
        <v>0</v>
      </c>
    </row>
    <row r="496" spans="1:80" x14ac:dyDescent="0.2">
      <c r="A496">
        <v>0</v>
      </c>
      <c r="B496">
        <v>0</v>
      </c>
      <c r="C496">
        <v>0</v>
      </c>
      <c r="D496">
        <v>0</v>
      </c>
      <c r="E496">
        <v>0</v>
      </c>
      <c r="F496">
        <v>0</v>
      </c>
      <c r="G496">
        <v>0</v>
      </c>
      <c r="H496">
        <v>0</v>
      </c>
      <c r="I496">
        <v>0</v>
      </c>
      <c r="J496">
        <v>0</v>
      </c>
      <c r="K496">
        <v>0</v>
      </c>
      <c r="L496">
        <v>0</v>
      </c>
      <c r="M496">
        <v>0</v>
      </c>
      <c r="N496">
        <v>0</v>
      </c>
      <c r="O496">
        <v>0</v>
      </c>
      <c r="P496">
        <v>0</v>
      </c>
      <c r="Q496">
        <v>0</v>
      </c>
      <c r="R496">
        <v>0</v>
      </c>
      <c r="S496">
        <v>0</v>
      </c>
      <c r="T496">
        <v>0</v>
      </c>
      <c r="U496">
        <v>0</v>
      </c>
      <c r="V496">
        <v>0</v>
      </c>
      <c r="W496">
        <v>0</v>
      </c>
      <c r="X496">
        <v>0</v>
      </c>
      <c r="Y496">
        <v>0</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v>0</v>
      </c>
      <c r="AS496">
        <v>0</v>
      </c>
      <c r="AT496">
        <v>0</v>
      </c>
      <c r="AU496">
        <v>0</v>
      </c>
      <c r="AV496">
        <v>0</v>
      </c>
      <c r="AW496">
        <v>0</v>
      </c>
      <c r="AX496">
        <v>0</v>
      </c>
      <c r="AY496">
        <v>0</v>
      </c>
      <c r="AZ496">
        <v>0</v>
      </c>
      <c r="BA496">
        <v>0</v>
      </c>
      <c r="BB496">
        <v>0</v>
      </c>
      <c r="BC496">
        <v>0</v>
      </c>
      <c r="BD496">
        <v>0</v>
      </c>
      <c r="BE496">
        <v>0</v>
      </c>
      <c r="BF496">
        <v>0</v>
      </c>
      <c r="BG496">
        <v>0</v>
      </c>
      <c r="BH496">
        <v>0</v>
      </c>
      <c r="BI496">
        <v>0</v>
      </c>
      <c r="BJ496">
        <v>0</v>
      </c>
      <c r="BK496">
        <v>0</v>
      </c>
      <c r="BL496">
        <v>0</v>
      </c>
      <c r="BM496">
        <v>0</v>
      </c>
      <c r="BN496">
        <v>0</v>
      </c>
      <c r="BO496">
        <v>0</v>
      </c>
      <c r="BP496">
        <v>0</v>
      </c>
      <c r="BQ496">
        <v>0</v>
      </c>
      <c r="BR496">
        <v>0</v>
      </c>
      <c r="BS496">
        <v>0</v>
      </c>
      <c r="BT496">
        <v>0</v>
      </c>
      <c r="BU496">
        <v>0</v>
      </c>
      <c r="BV496">
        <v>0</v>
      </c>
      <c r="BW496">
        <v>0</v>
      </c>
      <c r="BX496">
        <v>0</v>
      </c>
      <c r="BY496">
        <v>0</v>
      </c>
      <c r="BZ496">
        <v>0</v>
      </c>
      <c r="CA496">
        <v>0</v>
      </c>
      <c r="CB496">
        <v>0</v>
      </c>
    </row>
    <row r="497" spans="1:80" x14ac:dyDescent="0.2">
      <c r="A497">
        <v>0</v>
      </c>
      <c r="B497">
        <v>0</v>
      </c>
      <c r="C497">
        <v>0</v>
      </c>
      <c r="D497">
        <v>0</v>
      </c>
      <c r="E497">
        <v>0</v>
      </c>
      <c r="F497">
        <v>0</v>
      </c>
      <c r="G497">
        <v>0</v>
      </c>
      <c r="H497">
        <v>0</v>
      </c>
      <c r="I497">
        <v>0</v>
      </c>
      <c r="J497">
        <v>0</v>
      </c>
      <c r="K497">
        <v>0</v>
      </c>
      <c r="L497">
        <v>0</v>
      </c>
      <c r="M497">
        <v>0</v>
      </c>
      <c r="N497">
        <v>0</v>
      </c>
      <c r="O497">
        <v>0</v>
      </c>
      <c r="P497">
        <v>0</v>
      </c>
      <c r="Q497">
        <v>0</v>
      </c>
      <c r="R497">
        <v>0</v>
      </c>
      <c r="S497">
        <v>0</v>
      </c>
      <c r="T497">
        <v>0</v>
      </c>
      <c r="U497">
        <v>0</v>
      </c>
      <c r="V497">
        <v>0</v>
      </c>
      <c r="W497">
        <v>0</v>
      </c>
      <c r="X497">
        <v>0</v>
      </c>
      <c r="Y497">
        <v>0</v>
      </c>
      <c r="Z497">
        <v>0</v>
      </c>
      <c r="AA497">
        <v>0</v>
      </c>
      <c r="AB497">
        <v>0</v>
      </c>
      <c r="AC497">
        <v>0</v>
      </c>
      <c r="AD497">
        <v>0</v>
      </c>
      <c r="AE497">
        <v>0</v>
      </c>
      <c r="AF497">
        <v>0</v>
      </c>
      <c r="AG497">
        <v>0</v>
      </c>
      <c r="AH497">
        <v>0</v>
      </c>
      <c r="AI497">
        <v>0</v>
      </c>
      <c r="AJ497">
        <v>0</v>
      </c>
      <c r="AK497">
        <v>0</v>
      </c>
      <c r="AL497">
        <v>0</v>
      </c>
      <c r="AM497">
        <v>0</v>
      </c>
      <c r="AN497">
        <v>0</v>
      </c>
      <c r="AO497">
        <v>0</v>
      </c>
      <c r="AP497">
        <v>0</v>
      </c>
      <c r="AQ497">
        <v>0</v>
      </c>
      <c r="AR497">
        <v>0</v>
      </c>
      <c r="AS497">
        <v>0</v>
      </c>
      <c r="AT497">
        <v>0</v>
      </c>
      <c r="AU497">
        <v>0</v>
      </c>
      <c r="AV497">
        <v>0</v>
      </c>
      <c r="AW497">
        <v>0</v>
      </c>
      <c r="AX497">
        <v>0</v>
      </c>
      <c r="AY497">
        <v>0</v>
      </c>
      <c r="AZ497">
        <v>0</v>
      </c>
      <c r="BA497">
        <v>0</v>
      </c>
      <c r="BB497">
        <v>0</v>
      </c>
      <c r="BC497">
        <v>0</v>
      </c>
      <c r="BD497">
        <v>0</v>
      </c>
      <c r="BE497">
        <v>0</v>
      </c>
      <c r="BF497">
        <v>0</v>
      </c>
      <c r="BG497">
        <v>0</v>
      </c>
      <c r="BH497">
        <v>0</v>
      </c>
      <c r="BI497">
        <v>0</v>
      </c>
      <c r="BJ497">
        <v>0</v>
      </c>
      <c r="BK497">
        <v>0</v>
      </c>
      <c r="BL497">
        <v>0</v>
      </c>
      <c r="BM497">
        <v>0</v>
      </c>
      <c r="BN497">
        <v>0</v>
      </c>
      <c r="BO497">
        <v>0</v>
      </c>
      <c r="BP497">
        <v>0</v>
      </c>
      <c r="BQ497">
        <v>0</v>
      </c>
      <c r="BR497">
        <v>0</v>
      </c>
      <c r="BS497">
        <v>0</v>
      </c>
      <c r="BT497">
        <v>0</v>
      </c>
      <c r="BU497">
        <v>0</v>
      </c>
      <c r="BV497">
        <v>0</v>
      </c>
      <c r="BW497">
        <v>0</v>
      </c>
      <c r="BX497">
        <v>0</v>
      </c>
      <c r="BY497">
        <v>0</v>
      </c>
      <c r="BZ497">
        <v>0</v>
      </c>
      <c r="CA497">
        <v>0</v>
      </c>
      <c r="CB497">
        <v>0</v>
      </c>
    </row>
    <row r="498" spans="1:80" x14ac:dyDescent="0.2">
      <c r="A498">
        <v>0</v>
      </c>
      <c r="B498">
        <v>0</v>
      </c>
      <c r="C498">
        <v>0</v>
      </c>
      <c r="D498">
        <v>0</v>
      </c>
      <c r="E498">
        <v>0</v>
      </c>
      <c r="F498">
        <v>0</v>
      </c>
      <c r="G498">
        <v>0</v>
      </c>
      <c r="H498">
        <v>0</v>
      </c>
      <c r="I498">
        <v>0</v>
      </c>
      <c r="J498">
        <v>0</v>
      </c>
      <c r="K498">
        <v>0</v>
      </c>
      <c r="L498">
        <v>0</v>
      </c>
      <c r="M498">
        <v>0</v>
      </c>
      <c r="N498">
        <v>0</v>
      </c>
      <c r="O498">
        <v>0</v>
      </c>
      <c r="P498">
        <v>0</v>
      </c>
      <c r="Q498">
        <v>0</v>
      </c>
      <c r="R498">
        <v>0</v>
      </c>
      <c r="S498">
        <v>0</v>
      </c>
      <c r="T498">
        <v>0</v>
      </c>
      <c r="U498">
        <v>0</v>
      </c>
      <c r="V498">
        <v>0</v>
      </c>
      <c r="W498">
        <v>0</v>
      </c>
      <c r="X498">
        <v>0</v>
      </c>
      <c r="Y498">
        <v>0</v>
      </c>
      <c r="Z498">
        <v>0</v>
      </c>
      <c r="AA498">
        <v>0</v>
      </c>
      <c r="AB498">
        <v>0</v>
      </c>
      <c r="AC498">
        <v>0</v>
      </c>
      <c r="AD498">
        <v>0</v>
      </c>
      <c r="AE498">
        <v>0</v>
      </c>
      <c r="AF498">
        <v>0</v>
      </c>
      <c r="AG498">
        <v>0</v>
      </c>
      <c r="AH498">
        <v>0</v>
      </c>
      <c r="AI498">
        <v>0</v>
      </c>
      <c r="AJ498">
        <v>0</v>
      </c>
      <c r="AK498">
        <v>0</v>
      </c>
      <c r="AL498">
        <v>0</v>
      </c>
      <c r="AM498">
        <v>0</v>
      </c>
      <c r="AN498">
        <v>0</v>
      </c>
      <c r="AO498">
        <v>0</v>
      </c>
      <c r="AP498">
        <v>0</v>
      </c>
      <c r="AQ498">
        <v>0</v>
      </c>
      <c r="AR498">
        <v>0</v>
      </c>
      <c r="AS498">
        <v>0</v>
      </c>
      <c r="AT498">
        <v>0</v>
      </c>
      <c r="AU498">
        <v>0</v>
      </c>
      <c r="AV498">
        <v>0</v>
      </c>
      <c r="AW498">
        <v>0</v>
      </c>
      <c r="AX498">
        <v>0</v>
      </c>
      <c r="AY498">
        <v>0</v>
      </c>
      <c r="AZ498">
        <v>0</v>
      </c>
      <c r="BA498">
        <v>0</v>
      </c>
      <c r="BB498">
        <v>0</v>
      </c>
      <c r="BC498">
        <v>0</v>
      </c>
      <c r="BD498">
        <v>0</v>
      </c>
      <c r="BE498">
        <v>0</v>
      </c>
      <c r="BF498">
        <v>0</v>
      </c>
      <c r="BG498">
        <v>0</v>
      </c>
      <c r="BH498">
        <v>0</v>
      </c>
      <c r="BI498">
        <v>0</v>
      </c>
      <c r="BJ498">
        <v>0</v>
      </c>
      <c r="BK498">
        <v>0</v>
      </c>
      <c r="BL498">
        <v>0</v>
      </c>
      <c r="BM498">
        <v>0</v>
      </c>
      <c r="BN498">
        <v>0</v>
      </c>
      <c r="BO498">
        <v>0</v>
      </c>
      <c r="BP498">
        <v>0</v>
      </c>
      <c r="BQ498">
        <v>0</v>
      </c>
      <c r="BR498">
        <v>0</v>
      </c>
      <c r="BS498">
        <v>0</v>
      </c>
      <c r="BT498">
        <v>0</v>
      </c>
      <c r="BU498">
        <v>0</v>
      </c>
      <c r="BV498">
        <v>0</v>
      </c>
      <c r="BW498">
        <v>0</v>
      </c>
      <c r="BX498">
        <v>0</v>
      </c>
      <c r="BY498">
        <v>0</v>
      </c>
      <c r="BZ498">
        <v>0</v>
      </c>
      <c r="CA498">
        <v>0</v>
      </c>
      <c r="CB498">
        <v>0</v>
      </c>
    </row>
    <row r="499" spans="1:80" x14ac:dyDescent="0.2">
      <c r="A499">
        <v>0</v>
      </c>
      <c r="B499">
        <v>0</v>
      </c>
      <c r="C499">
        <v>0</v>
      </c>
      <c r="D499">
        <v>0</v>
      </c>
      <c r="E499">
        <v>0</v>
      </c>
      <c r="F499">
        <v>0</v>
      </c>
      <c r="G499">
        <v>0</v>
      </c>
      <c r="H499">
        <v>0</v>
      </c>
      <c r="I499">
        <v>0</v>
      </c>
      <c r="J499">
        <v>0</v>
      </c>
      <c r="K499">
        <v>0</v>
      </c>
      <c r="L499">
        <v>0</v>
      </c>
      <c r="M499">
        <v>0</v>
      </c>
      <c r="N499">
        <v>0</v>
      </c>
      <c r="O499">
        <v>0</v>
      </c>
      <c r="P499">
        <v>0</v>
      </c>
      <c r="Q499">
        <v>0</v>
      </c>
      <c r="R499">
        <v>0</v>
      </c>
      <c r="S499">
        <v>0</v>
      </c>
      <c r="T499">
        <v>0</v>
      </c>
      <c r="U499">
        <v>0</v>
      </c>
      <c r="V499">
        <v>0</v>
      </c>
      <c r="W499">
        <v>0</v>
      </c>
      <c r="X499">
        <v>0</v>
      </c>
      <c r="Y499">
        <v>0</v>
      </c>
      <c r="Z499">
        <v>0</v>
      </c>
      <c r="AA499">
        <v>0</v>
      </c>
      <c r="AB499">
        <v>0</v>
      </c>
      <c r="AC499">
        <v>0</v>
      </c>
      <c r="AD499">
        <v>0</v>
      </c>
      <c r="AE499">
        <v>0</v>
      </c>
      <c r="AF499">
        <v>0</v>
      </c>
      <c r="AG499">
        <v>0</v>
      </c>
      <c r="AH499">
        <v>0</v>
      </c>
      <c r="AI499">
        <v>0</v>
      </c>
      <c r="AJ499">
        <v>0</v>
      </c>
      <c r="AK499">
        <v>0</v>
      </c>
      <c r="AL499">
        <v>0</v>
      </c>
      <c r="AM499">
        <v>0</v>
      </c>
      <c r="AN499">
        <v>0</v>
      </c>
      <c r="AO499">
        <v>0</v>
      </c>
      <c r="AP499">
        <v>0</v>
      </c>
      <c r="AQ499">
        <v>0</v>
      </c>
      <c r="AR499">
        <v>0</v>
      </c>
      <c r="AS499">
        <v>0</v>
      </c>
      <c r="AT499">
        <v>0</v>
      </c>
      <c r="AU499">
        <v>0</v>
      </c>
      <c r="AV499">
        <v>0</v>
      </c>
      <c r="AW499">
        <v>0</v>
      </c>
      <c r="AX499">
        <v>0</v>
      </c>
      <c r="AY499">
        <v>0</v>
      </c>
      <c r="AZ499">
        <v>0</v>
      </c>
      <c r="BA499">
        <v>0</v>
      </c>
      <c r="BB499">
        <v>0</v>
      </c>
      <c r="BC499">
        <v>0</v>
      </c>
      <c r="BD499">
        <v>0</v>
      </c>
      <c r="BE499">
        <v>0</v>
      </c>
      <c r="BF499">
        <v>0</v>
      </c>
      <c r="BG499">
        <v>0</v>
      </c>
      <c r="BH499">
        <v>0</v>
      </c>
      <c r="BI499">
        <v>0</v>
      </c>
      <c r="BJ499">
        <v>0</v>
      </c>
      <c r="BK499">
        <v>0</v>
      </c>
      <c r="BL499">
        <v>0</v>
      </c>
      <c r="BM499">
        <v>0</v>
      </c>
      <c r="BN499">
        <v>0</v>
      </c>
      <c r="BO499">
        <v>0</v>
      </c>
      <c r="BP499">
        <v>0</v>
      </c>
      <c r="BQ499">
        <v>0</v>
      </c>
      <c r="BR499">
        <v>0</v>
      </c>
      <c r="BS499">
        <v>0</v>
      </c>
      <c r="BT499">
        <v>0</v>
      </c>
      <c r="BU499">
        <v>0</v>
      </c>
      <c r="BV499">
        <v>0</v>
      </c>
      <c r="BW499">
        <v>0</v>
      </c>
      <c r="BX499">
        <v>0</v>
      </c>
      <c r="BY499">
        <v>0</v>
      </c>
      <c r="BZ499">
        <v>0</v>
      </c>
      <c r="CA499">
        <v>0</v>
      </c>
      <c r="CB499">
        <v>0</v>
      </c>
    </row>
    <row r="500" spans="1:80" x14ac:dyDescent="0.2">
      <c r="A500">
        <v>0</v>
      </c>
      <c r="B500">
        <v>0</v>
      </c>
      <c r="C500">
        <v>0</v>
      </c>
      <c r="D500">
        <v>0</v>
      </c>
      <c r="E500">
        <v>0</v>
      </c>
      <c r="F500">
        <v>0</v>
      </c>
      <c r="G500">
        <v>0</v>
      </c>
      <c r="H500">
        <v>0</v>
      </c>
      <c r="I500">
        <v>0</v>
      </c>
      <c r="J500">
        <v>0</v>
      </c>
      <c r="K500">
        <v>0</v>
      </c>
      <c r="L500">
        <v>0</v>
      </c>
      <c r="M500">
        <v>0</v>
      </c>
      <c r="N500">
        <v>0</v>
      </c>
      <c r="O500">
        <v>0</v>
      </c>
      <c r="P500">
        <v>0</v>
      </c>
      <c r="Q500">
        <v>0</v>
      </c>
      <c r="R500">
        <v>0</v>
      </c>
      <c r="S500">
        <v>0</v>
      </c>
      <c r="T500">
        <v>0</v>
      </c>
      <c r="U500">
        <v>0</v>
      </c>
      <c r="V500">
        <v>0</v>
      </c>
      <c r="W500">
        <v>0</v>
      </c>
      <c r="X500">
        <v>0</v>
      </c>
      <c r="Y500">
        <v>0</v>
      </c>
      <c r="Z500">
        <v>0</v>
      </c>
      <c r="AA500">
        <v>0</v>
      </c>
      <c r="AB500">
        <v>0</v>
      </c>
      <c r="AC500">
        <v>0</v>
      </c>
      <c r="AD500">
        <v>0</v>
      </c>
      <c r="AE500">
        <v>0</v>
      </c>
      <c r="AF500">
        <v>0</v>
      </c>
      <c r="AG500">
        <v>0</v>
      </c>
      <c r="AH500">
        <v>0</v>
      </c>
      <c r="AI500">
        <v>0</v>
      </c>
      <c r="AJ500">
        <v>0</v>
      </c>
      <c r="AK500">
        <v>0</v>
      </c>
      <c r="AL500">
        <v>0</v>
      </c>
      <c r="AM500">
        <v>0</v>
      </c>
      <c r="AN500">
        <v>0</v>
      </c>
      <c r="AO500">
        <v>0</v>
      </c>
      <c r="AP500">
        <v>0</v>
      </c>
      <c r="AQ500">
        <v>0</v>
      </c>
      <c r="AR500">
        <v>0</v>
      </c>
      <c r="AS500">
        <v>0</v>
      </c>
      <c r="AT500">
        <v>0</v>
      </c>
      <c r="AU500">
        <v>0</v>
      </c>
      <c r="AV500">
        <v>0</v>
      </c>
      <c r="AW500">
        <v>0</v>
      </c>
      <c r="AX500">
        <v>0</v>
      </c>
      <c r="AY500">
        <v>0</v>
      </c>
      <c r="AZ500">
        <v>0</v>
      </c>
      <c r="BA500">
        <v>0</v>
      </c>
      <c r="BB500">
        <v>0</v>
      </c>
      <c r="BC500">
        <v>0</v>
      </c>
      <c r="BD500">
        <v>0</v>
      </c>
      <c r="BE500">
        <v>0</v>
      </c>
      <c r="BF500">
        <v>0</v>
      </c>
      <c r="BG500">
        <v>0</v>
      </c>
      <c r="BH500">
        <v>0</v>
      </c>
      <c r="BI500">
        <v>0</v>
      </c>
      <c r="BJ500">
        <v>0</v>
      </c>
      <c r="BK500">
        <v>0</v>
      </c>
      <c r="BL500">
        <v>0</v>
      </c>
      <c r="BM500">
        <v>0</v>
      </c>
      <c r="BN500">
        <v>0</v>
      </c>
      <c r="BO500">
        <v>0</v>
      </c>
      <c r="BP500">
        <v>0</v>
      </c>
      <c r="BQ500">
        <v>0</v>
      </c>
      <c r="BR500">
        <v>0</v>
      </c>
      <c r="BS500">
        <v>0</v>
      </c>
      <c r="BT500">
        <v>0</v>
      </c>
      <c r="BU500">
        <v>0</v>
      </c>
      <c r="BV500">
        <v>0</v>
      </c>
      <c r="BW500">
        <v>0</v>
      </c>
      <c r="BX500">
        <v>0</v>
      </c>
      <c r="BY500">
        <v>0</v>
      </c>
      <c r="BZ500">
        <v>0</v>
      </c>
      <c r="CA500">
        <v>0</v>
      </c>
      <c r="CB500">
        <v>0</v>
      </c>
    </row>
    <row r="502" spans="1:80" x14ac:dyDescent="0.2">
      <c r="A502" s="40" t="s">
        <v>594</v>
      </c>
    </row>
    <row r="503" spans="1:80" x14ac:dyDescent="0.2">
      <c r="A503">
        <f t="array" ref="A503:CB582">MMULT('_motor'!$A$421:$CB$500,'_motor'!$A$93:$CB$172)</f>
      </c>
      <c r="B503">
        <v>0</v>
      </c>
      <c r="C503">
        <v>0</v>
      </c>
      <c r="D503">
        <v>0</v>
      </c>
      <c r="E503">
        <v>0</v>
      </c>
      <c r="F503">
        <v>0</v>
      </c>
      <c r="G503">
        <v>0</v>
      </c>
      <c r="H503">
        <v>0</v>
      </c>
      <c r="I503">
        <v>0</v>
      </c>
      <c r="J503">
        <v>0</v>
      </c>
      <c r="K503">
        <v>0</v>
      </c>
      <c r="L503">
        <v>0</v>
      </c>
      <c r="M503">
        <v>0</v>
      </c>
      <c r="N503">
        <v>0</v>
      </c>
      <c r="O503">
        <v>0</v>
      </c>
      <c r="P503">
        <v>0</v>
      </c>
      <c r="Q503">
        <v>0</v>
      </c>
      <c r="R503">
        <v>0</v>
      </c>
      <c r="S503">
        <v>0</v>
      </c>
      <c r="T503">
        <v>0</v>
      </c>
      <c r="U503">
        <v>0</v>
      </c>
      <c r="V503">
        <v>0</v>
      </c>
      <c r="W503">
        <v>0</v>
      </c>
      <c r="X503">
        <v>0</v>
      </c>
      <c r="Y503">
        <v>0</v>
      </c>
      <c r="Z503">
        <v>0</v>
      </c>
      <c r="AA503">
        <v>0</v>
      </c>
      <c r="AB503">
        <v>0</v>
      </c>
      <c r="AC503">
        <v>0</v>
      </c>
      <c r="AD503">
        <v>0</v>
      </c>
      <c r="AE503">
        <v>0</v>
      </c>
      <c r="AF503">
        <v>0</v>
      </c>
      <c r="AG503">
        <v>0</v>
      </c>
      <c r="AH503">
        <v>0</v>
      </c>
      <c r="AI503">
        <v>0</v>
      </c>
      <c r="AJ503">
        <v>0</v>
      </c>
      <c r="AK503">
        <v>0</v>
      </c>
      <c r="AL503">
        <v>0</v>
      </c>
      <c r="AM503">
        <v>0</v>
      </c>
      <c r="AN503">
        <v>0</v>
      </c>
      <c r="AO503">
        <v>0</v>
      </c>
      <c r="AP503">
        <v>0</v>
      </c>
      <c r="AQ503">
        <v>0</v>
      </c>
      <c r="AR503">
        <v>0</v>
      </c>
      <c r="AS503">
        <v>0</v>
      </c>
      <c r="AT503">
        <v>0</v>
      </c>
      <c r="AU503">
        <v>0</v>
      </c>
      <c r="AV503">
        <v>0</v>
      </c>
      <c r="AW503">
        <v>0</v>
      </c>
      <c r="AX503">
        <v>0</v>
      </c>
      <c r="AY503">
        <v>0</v>
      </c>
      <c r="AZ503">
        <v>0</v>
      </c>
      <c r="BA503">
        <v>0</v>
      </c>
      <c r="BB503">
        <v>0</v>
      </c>
      <c r="BC503">
        <v>0</v>
      </c>
      <c r="BD503">
        <v>0</v>
      </c>
      <c r="BE503">
        <v>0</v>
      </c>
      <c r="BF503">
        <v>0</v>
      </c>
      <c r="BG503">
        <v>0</v>
      </c>
      <c r="BH503">
        <v>0</v>
      </c>
      <c r="BI503">
        <v>0</v>
      </c>
      <c r="BJ503">
        <v>0</v>
      </c>
      <c r="BK503">
        <v>0</v>
      </c>
      <c r="BL503">
        <v>0</v>
      </c>
      <c r="BM503">
        <v>0</v>
      </c>
      <c r="BN503">
        <v>0</v>
      </c>
      <c r="BO503">
        <v>0</v>
      </c>
      <c r="BP503">
        <v>0</v>
      </c>
      <c r="BQ503">
        <v>0</v>
      </c>
      <c r="BR503">
        <v>0</v>
      </c>
      <c r="BS503">
        <v>0</v>
      </c>
      <c r="BT503">
        <v>0</v>
      </c>
      <c r="BU503">
        <v>0</v>
      </c>
      <c r="BV503">
        <v>0</v>
      </c>
      <c r="BW503">
        <v>0</v>
      </c>
      <c r="BX503">
        <v>0</v>
      </c>
      <c r="BY503">
        <v>0</v>
      </c>
      <c r="BZ503">
        <v>0</v>
      </c>
      <c r="CA503">
        <v>0</v>
      </c>
      <c r="CB503">
        <v>0</v>
      </c>
    </row>
    <row r="504" spans="1:80" x14ac:dyDescent="0.2">
      <c r="A504">
        <v>0</v>
      </c>
      <c r="B504">
        <v>0</v>
      </c>
      <c r="C504">
        <v>0</v>
      </c>
      <c r="D504">
        <v>0</v>
      </c>
      <c r="E504">
        <v>0</v>
      </c>
      <c r="F504">
        <v>0</v>
      </c>
      <c r="G504">
        <v>0</v>
      </c>
      <c r="H504">
        <v>0</v>
      </c>
      <c r="I504">
        <v>0</v>
      </c>
      <c r="J504">
        <v>0</v>
      </c>
      <c r="K504">
        <v>0</v>
      </c>
      <c r="L504">
        <v>0</v>
      </c>
      <c r="M504">
        <v>0</v>
      </c>
      <c r="N504">
        <v>0</v>
      </c>
      <c r="O504">
        <v>0</v>
      </c>
      <c r="P504">
        <v>0</v>
      </c>
      <c r="Q504">
        <v>0</v>
      </c>
      <c r="R504">
        <v>0</v>
      </c>
      <c r="S504">
        <v>0</v>
      </c>
      <c r="T504">
        <v>0</v>
      </c>
      <c r="U504">
        <v>0</v>
      </c>
      <c r="V504">
        <v>0</v>
      </c>
      <c r="W504">
        <v>0</v>
      </c>
      <c r="X504">
        <v>0</v>
      </c>
      <c r="Y504">
        <v>0</v>
      </c>
      <c r="Z504">
        <v>0</v>
      </c>
      <c r="AA504">
        <v>0</v>
      </c>
      <c r="AB504">
        <v>0</v>
      </c>
      <c r="AC504">
        <v>0</v>
      </c>
      <c r="AD504">
        <v>0</v>
      </c>
      <c r="AE504">
        <v>0</v>
      </c>
      <c r="AF504">
        <v>0</v>
      </c>
      <c r="AG504">
        <v>0</v>
      </c>
      <c r="AH504">
        <v>0</v>
      </c>
      <c r="AI504">
        <v>0</v>
      </c>
      <c r="AJ504">
        <v>0</v>
      </c>
      <c r="AK504">
        <v>0</v>
      </c>
      <c r="AL504">
        <v>0</v>
      </c>
      <c r="AM504">
        <v>0</v>
      </c>
      <c r="AN504">
        <v>0</v>
      </c>
      <c r="AO504">
        <v>0</v>
      </c>
      <c r="AP504">
        <v>0</v>
      </c>
      <c r="AQ504">
        <v>0</v>
      </c>
      <c r="AR504">
        <v>0</v>
      </c>
      <c r="AS504">
        <v>0</v>
      </c>
      <c r="AT504">
        <v>0</v>
      </c>
      <c r="AU504">
        <v>0</v>
      </c>
      <c r="AV504">
        <v>0</v>
      </c>
      <c r="AW504">
        <v>0</v>
      </c>
      <c r="AX504">
        <v>0</v>
      </c>
      <c r="AY504">
        <v>0</v>
      </c>
      <c r="AZ504">
        <v>0</v>
      </c>
      <c r="BA504">
        <v>0</v>
      </c>
      <c r="BB504">
        <v>0</v>
      </c>
      <c r="BC504">
        <v>0</v>
      </c>
      <c r="BD504">
        <v>0</v>
      </c>
      <c r="BE504">
        <v>0</v>
      </c>
      <c r="BF504">
        <v>0</v>
      </c>
      <c r="BG504">
        <v>0</v>
      </c>
      <c r="BH504">
        <v>0</v>
      </c>
      <c r="BI504">
        <v>0</v>
      </c>
      <c r="BJ504">
        <v>0</v>
      </c>
      <c r="BK504">
        <v>0</v>
      </c>
      <c r="BL504">
        <v>0</v>
      </c>
      <c r="BM504">
        <v>0</v>
      </c>
      <c r="BN504">
        <v>0</v>
      </c>
      <c r="BO504">
        <v>0</v>
      </c>
      <c r="BP504">
        <v>0</v>
      </c>
      <c r="BQ504">
        <v>0</v>
      </c>
      <c r="BR504">
        <v>0</v>
      </c>
      <c r="BS504">
        <v>0</v>
      </c>
      <c r="BT504">
        <v>0</v>
      </c>
      <c r="BU504">
        <v>0</v>
      </c>
      <c r="BV504">
        <v>0</v>
      </c>
      <c r="BW504">
        <v>0</v>
      </c>
      <c r="BX504">
        <v>0</v>
      </c>
      <c r="BY504">
        <v>0</v>
      </c>
      <c r="BZ504">
        <v>0</v>
      </c>
      <c r="CA504">
        <v>0</v>
      </c>
      <c r="CB504">
        <v>0</v>
      </c>
    </row>
    <row r="505" spans="1:80" x14ac:dyDescent="0.2">
      <c r="A505">
        <v>0</v>
      </c>
      <c r="B505">
        <v>0</v>
      </c>
      <c r="C505">
        <v>0</v>
      </c>
      <c r="D505">
        <v>0</v>
      </c>
      <c r="E505">
        <v>0</v>
      </c>
      <c r="F505">
        <v>0</v>
      </c>
      <c r="G505">
        <v>0</v>
      </c>
      <c r="H505">
        <v>0</v>
      </c>
      <c r="I505">
        <v>0</v>
      </c>
      <c r="J505">
        <v>0</v>
      </c>
      <c r="K505">
        <v>0</v>
      </c>
      <c r="L505">
        <v>0</v>
      </c>
      <c r="M505">
        <v>0</v>
      </c>
      <c r="N505">
        <v>0</v>
      </c>
      <c r="O505">
        <v>0</v>
      </c>
      <c r="P505">
        <v>0</v>
      </c>
      <c r="Q505">
        <v>0</v>
      </c>
      <c r="R505">
        <v>0</v>
      </c>
      <c r="S505">
        <v>0</v>
      </c>
      <c r="T505">
        <v>0</v>
      </c>
      <c r="U505">
        <v>0</v>
      </c>
      <c r="V505">
        <v>0</v>
      </c>
      <c r="W505">
        <v>0</v>
      </c>
      <c r="X505">
        <v>0</v>
      </c>
      <c r="Y505">
        <v>0</v>
      </c>
      <c r="Z505">
        <v>0</v>
      </c>
      <c r="AA505">
        <v>0</v>
      </c>
      <c r="AB505">
        <v>0</v>
      </c>
      <c r="AC505">
        <v>0</v>
      </c>
      <c r="AD505">
        <v>0</v>
      </c>
      <c r="AE505">
        <v>0</v>
      </c>
      <c r="AF505">
        <v>0</v>
      </c>
      <c r="AG505">
        <v>0</v>
      </c>
      <c r="AH505">
        <v>0</v>
      </c>
      <c r="AI505">
        <v>0</v>
      </c>
      <c r="AJ505">
        <v>0</v>
      </c>
      <c r="AK505">
        <v>0</v>
      </c>
      <c r="AL505">
        <v>0</v>
      </c>
      <c r="AM505">
        <v>0</v>
      </c>
      <c r="AN505">
        <v>0</v>
      </c>
      <c r="AO505">
        <v>0</v>
      </c>
      <c r="AP505">
        <v>0</v>
      </c>
      <c r="AQ505">
        <v>0</v>
      </c>
      <c r="AR505">
        <v>0</v>
      </c>
      <c r="AS505">
        <v>0</v>
      </c>
      <c r="AT505">
        <v>0</v>
      </c>
      <c r="AU505">
        <v>0</v>
      </c>
      <c r="AV505">
        <v>0</v>
      </c>
      <c r="AW505">
        <v>0</v>
      </c>
      <c r="AX505">
        <v>0</v>
      </c>
      <c r="AY505">
        <v>0</v>
      </c>
      <c r="AZ505">
        <v>0</v>
      </c>
      <c r="BA505">
        <v>0</v>
      </c>
      <c r="BB505">
        <v>0</v>
      </c>
      <c r="BC505">
        <v>0</v>
      </c>
      <c r="BD505">
        <v>0</v>
      </c>
      <c r="BE505">
        <v>0</v>
      </c>
      <c r="BF505">
        <v>0</v>
      </c>
      <c r="BG505">
        <v>0</v>
      </c>
      <c r="BH505">
        <v>0</v>
      </c>
      <c r="BI505">
        <v>0</v>
      </c>
      <c r="BJ505">
        <v>0</v>
      </c>
      <c r="BK505">
        <v>0</v>
      </c>
      <c r="BL505">
        <v>0</v>
      </c>
      <c r="BM505">
        <v>0</v>
      </c>
      <c r="BN505">
        <v>0</v>
      </c>
      <c r="BO505">
        <v>0</v>
      </c>
      <c r="BP505">
        <v>0</v>
      </c>
      <c r="BQ505">
        <v>0</v>
      </c>
      <c r="BR505">
        <v>0</v>
      </c>
      <c r="BS505">
        <v>0</v>
      </c>
      <c r="BT505">
        <v>0</v>
      </c>
      <c r="BU505">
        <v>0</v>
      </c>
      <c r="BV505">
        <v>0</v>
      </c>
      <c r="BW505">
        <v>0</v>
      </c>
      <c r="BX505">
        <v>0</v>
      </c>
      <c r="BY505">
        <v>0</v>
      </c>
      <c r="BZ505">
        <v>0</v>
      </c>
      <c r="CA505">
        <v>0</v>
      </c>
      <c r="CB505">
        <v>0</v>
      </c>
    </row>
    <row r="506" spans="1:80" x14ac:dyDescent="0.2">
      <c r="A506">
        <v>0</v>
      </c>
      <c r="B506">
        <v>0</v>
      </c>
      <c r="C506">
        <v>0</v>
      </c>
      <c r="D506">
        <v>0</v>
      </c>
      <c r="E506">
        <v>0</v>
      </c>
      <c r="F506">
        <v>0</v>
      </c>
      <c r="G506">
        <v>0</v>
      </c>
      <c r="H506">
        <v>0</v>
      </c>
      <c r="I506">
        <v>0</v>
      </c>
      <c r="J506">
        <v>0</v>
      </c>
      <c r="K506">
        <v>0</v>
      </c>
      <c r="L506">
        <v>0</v>
      </c>
      <c r="M506">
        <v>0</v>
      </c>
      <c r="N506">
        <v>0</v>
      </c>
      <c r="O506">
        <v>0</v>
      </c>
      <c r="P506">
        <v>0</v>
      </c>
      <c r="Q506">
        <v>0</v>
      </c>
      <c r="R506">
        <v>0</v>
      </c>
      <c r="S506">
        <v>0</v>
      </c>
      <c r="T506">
        <v>0</v>
      </c>
      <c r="U506">
        <v>0</v>
      </c>
      <c r="V506">
        <v>0</v>
      </c>
      <c r="W506">
        <v>0</v>
      </c>
      <c r="X506">
        <v>0</v>
      </c>
      <c r="Y506">
        <v>0</v>
      </c>
      <c r="Z506">
        <v>0</v>
      </c>
      <c r="AA506">
        <v>0</v>
      </c>
      <c r="AB506">
        <v>0</v>
      </c>
      <c r="AC506">
        <v>0</v>
      </c>
      <c r="AD506">
        <v>0</v>
      </c>
      <c r="AE506">
        <v>0</v>
      </c>
      <c r="AF506">
        <v>0</v>
      </c>
      <c r="AG506">
        <v>0</v>
      </c>
      <c r="AH506">
        <v>0</v>
      </c>
      <c r="AI506">
        <v>0</v>
      </c>
      <c r="AJ506">
        <v>0</v>
      </c>
      <c r="AK506">
        <v>0</v>
      </c>
      <c r="AL506">
        <v>0</v>
      </c>
      <c r="AM506">
        <v>0</v>
      </c>
      <c r="AN506">
        <v>0</v>
      </c>
      <c r="AO506">
        <v>0</v>
      </c>
      <c r="AP506">
        <v>0</v>
      </c>
      <c r="AQ506">
        <v>0</v>
      </c>
      <c r="AR506">
        <v>0</v>
      </c>
      <c r="AS506">
        <v>0</v>
      </c>
      <c r="AT506">
        <v>0</v>
      </c>
      <c r="AU506">
        <v>0</v>
      </c>
      <c r="AV506">
        <v>0</v>
      </c>
      <c r="AW506">
        <v>0</v>
      </c>
      <c r="AX506">
        <v>0</v>
      </c>
      <c r="AY506">
        <v>0</v>
      </c>
      <c r="AZ506">
        <v>0</v>
      </c>
      <c r="BA506">
        <v>0</v>
      </c>
      <c r="BB506">
        <v>0</v>
      </c>
      <c r="BC506">
        <v>0</v>
      </c>
      <c r="BD506">
        <v>0</v>
      </c>
      <c r="BE506">
        <v>0</v>
      </c>
      <c r="BF506">
        <v>0</v>
      </c>
      <c r="BG506">
        <v>0</v>
      </c>
      <c r="BH506">
        <v>0</v>
      </c>
      <c r="BI506">
        <v>0</v>
      </c>
      <c r="BJ506">
        <v>0</v>
      </c>
      <c r="BK506">
        <v>0</v>
      </c>
      <c r="BL506">
        <v>0</v>
      </c>
      <c r="BM506">
        <v>0</v>
      </c>
      <c r="BN506">
        <v>0</v>
      </c>
      <c r="BO506">
        <v>0</v>
      </c>
      <c r="BP506">
        <v>0</v>
      </c>
      <c r="BQ506">
        <v>0</v>
      </c>
      <c r="BR506">
        <v>0</v>
      </c>
      <c r="BS506">
        <v>0</v>
      </c>
      <c r="BT506">
        <v>0</v>
      </c>
      <c r="BU506">
        <v>0</v>
      </c>
      <c r="BV506">
        <v>0</v>
      </c>
      <c r="BW506">
        <v>0</v>
      </c>
      <c r="BX506">
        <v>0</v>
      </c>
      <c r="BY506">
        <v>0</v>
      </c>
      <c r="BZ506">
        <v>0</v>
      </c>
      <c r="CA506">
        <v>0</v>
      </c>
      <c r="CB506">
        <v>0</v>
      </c>
    </row>
    <row r="507" spans="1:80" x14ac:dyDescent="0.2">
      <c r="A507">
        <v>0</v>
      </c>
      <c r="B507">
        <v>0</v>
      </c>
      <c r="C507">
        <v>0</v>
      </c>
      <c r="D507">
        <v>0</v>
      </c>
      <c r="E507">
        <v>0</v>
      </c>
      <c r="F507">
        <v>0</v>
      </c>
      <c r="G507">
        <v>0</v>
      </c>
      <c r="H507">
        <v>0</v>
      </c>
      <c r="I507">
        <v>0</v>
      </c>
      <c r="J507">
        <v>0</v>
      </c>
      <c r="K507">
        <v>0</v>
      </c>
      <c r="L507">
        <v>0</v>
      </c>
      <c r="M507">
        <v>0</v>
      </c>
      <c r="N507">
        <v>0</v>
      </c>
      <c r="O507">
        <v>0</v>
      </c>
      <c r="P507">
        <v>0</v>
      </c>
      <c r="Q507">
        <v>0</v>
      </c>
      <c r="R507">
        <v>0</v>
      </c>
      <c r="S507">
        <v>0</v>
      </c>
      <c r="T507">
        <v>0</v>
      </c>
      <c r="U507">
        <v>0</v>
      </c>
      <c r="V507">
        <v>0</v>
      </c>
      <c r="W507">
        <v>0</v>
      </c>
      <c r="X507">
        <v>0</v>
      </c>
      <c r="Y507">
        <v>0</v>
      </c>
      <c r="Z507">
        <v>0</v>
      </c>
      <c r="AA507">
        <v>0</v>
      </c>
      <c r="AB507">
        <v>0</v>
      </c>
      <c r="AC507">
        <v>0</v>
      </c>
      <c r="AD507">
        <v>0</v>
      </c>
      <c r="AE507">
        <v>0</v>
      </c>
      <c r="AF507">
        <v>0</v>
      </c>
      <c r="AG507">
        <v>0</v>
      </c>
      <c r="AH507">
        <v>0</v>
      </c>
      <c r="AI507">
        <v>0</v>
      </c>
      <c r="AJ507">
        <v>0</v>
      </c>
      <c r="AK507">
        <v>0</v>
      </c>
      <c r="AL507">
        <v>0</v>
      </c>
      <c r="AM507">
        <v>0</v>
      </c>
      <c r="AN507">
        <v>0</v>
      </c>
      <c r="AO507">
        <v>0</v>
      </c>
      <c r="AP507">
        <v>0</v>
      </c>
      <c r="AQ507">
        <v>0</v>
      </c>
      <c r="AR507">
        <v>0</v>
      </c>
      <c r="AS507">
        <v>0</v>
      </c>
      <c r="AT507">
        <v>0</v>
      </c>
      <c r="AU507">
        <v>0</v>
      </c>
      <c r="AV507">
        <v>0</v>
      </c>
      <c r="AW507">
        <v>0</v>
      </c>
      <c r="AX507">
        <v>0</v>
      </c>
      <c r="AY507">
        <v>0</v>
      </c>
      <c r="AZ507">
        <v>0</v>
      </c>
      <c r="BA507">
        <v>0</v>
      </c>
      <c r="BB507">
        <v>0</v>
      </c>
      <c r="BC507">
        <v>0</v>
      </c>
      <c r="BD507">
        <v>0</v>
      </c>
      <c r="BE507">
        <v>0</v>
      </c>
      <c r="BF507">
        <v>0</v>
      </c>
      <c r="BG507">
        <v>0</v>
      </c>
      <c r="BH507">
        <v>0</v>
      </c>
      <c r="BI507">
        <v>0</v>
      </c>
      <c r="BJ507">
        <v>0</v>
      </c>
      <c r="BK507">
        <v>0</v>
      </c>
      <c r="BL507">
        <v>0</v>
      </c>
      <c r="BM507">
        <v>0</v>
      </c>
      <c r="BN507">
        <v>0</v>
      </c>
      <c r="BO507">
        <v>0</v>
      </c>
      <c r="BP507">
        <v>0</v>
      </c>
      <c r="BQ507">
        <v>0</v>
      </c>
      <c r="BR507">
        <v>0</v>
      </c>
      <c r="BS507">
        <v>0</v>
      </c>
      <c r="BT507">
        <v>0</v>
      </c>
      <c r="BU507">
        <v>0</v>
      </c>
      <c r="BV507">
        <v>0</v>
      </c>
      <c r="BW507">
        <v>0</v>
      </c>
      <c r="BX507">
        <v>0</v>
      </c>
      <c r="BY507">
        <v>0</v>
      </c>
      <c r="BZ507">
        <v>0</v>
      </c>
      <c r="CA507">
        <v>0</v>
      </c>
      <c r="CB507">
        <v>0</v>
      </c>
    </row>
    <row r="508" spans="1:80" x14ac:dyDescent="0.2">
      <c r="A508">
        <v>0</v>
      </c>
      <c r="B508">
        <v>0</v>
      </c>
      <c r="C508">
        <v>0</v>
      </c>
      <c r="D508">
        <v>0</v>
      </c>
      <c r="E508">
        <v>0</v>
      </c>
      <c r="F508">
        <v>0</v>
      </c>
      <c r="G508">
        <v>0</v>
      </c>
      <c r="H508">
        <v>0</v>
      </c>
      <c r="I508">
        <v>0</v>
      </c>
      <c r="J508">
        <v>0</v>
      </c>
      <c r="K508">
        <v>0</v>
      </c>
      <c r="L508">
        <v>0</v>
      </c>
      <c r="M508">
        <v>0</v>
      </c>
      <c r="N508">
        <v>0</v>
      </c>
      <c r="O508">
        <v>0</v>
      </c>
      <c r="P508">
        <v>0</v>
      </c>
      <c r="Q508">
        <v>0</v>
      </c>
      <c r="R508">
        <v>0</v>
      </c>
      <c r="S508">
        <v>0</v>
      </c>
      <c r="T508">
        <v>0</v>
      </c>
      <c r="U508">
        <v>0</v>
      </c>
      <c r="V508">
        <v>0</v>
      </c>
      <c r="W508">
        <v>0</v>
      </c>
      <c r="X508">
        <v>0</v>
      </c>
      <c r="Y508">
        <v>0</v>
      </c>
      <c r="Z508">
        <v>0</v>
      </c>
      <c r="AA508">
        <v>0</v>
      </c>
      <c r="AB508">
        <v>0</v>
      </c>
      <c r="AC508">
        <v>0</v>
      </c>
      <c r="AD508">
        <v>0</v>
      </c>
      <c r="AE508">
        <v>0</v>
      </c>
      <c r="AF508">
        <v>0</v>
      </c>
      <c r="AG508">
        <v>0</v>
      </c>
      <c r="AH508">
        <v>0</v>
      </c>
      <c r="AI508">
        <v>0</v>
      </c>
      <c r="AJ508">
        <v>0</v>
      </c>
      <c r="AK508">
        <v>0</v>
      </c>
      <c r="AL508">
        <v>0</v>
      </c>
      <c r="AM508">
        <v>0</v>
      </c>
      <c r="AN508">
        <v>0</v>
      </c>
      <c r="AO508">
        <v>0</v>
      </c>
      <c r="AP508">
        <v>0</v>
      </c>
      <c r="AQ508">
        <v>0</v>
      </c>
      <c r="AR508">
        <v>0</v>
      </c>
      <c r="AS508">
        <v>0</v>
      </c>
      <c r="AT508">
        <v>0</v>
      </c>
      <c r="AU508">
        <v>0</v>
      </c>
      <c r="AV508">
        <v>0</v>
      </c>
      <c r="AW508">
        <v>0</v>
      </c>
      <c r="AX508">
        <v>0</v>
      </c>
      <c r="AY508">
        <v>0</v>
      </c>
      <c r="AZ508">
        <v>0</v>
      </c>
      <c r="BA508">
        <v>0</v>
      </c>
      <c r="BB508">
        <v>0</v>
      </c>
      <c r="BC508">
        <v>0</v>
      </c>
      <c r="BD508">
        <v>0</v>
      </c>
      <c r="BE508">
        <v>0</v>
      </c>
      <c r="BF508">
        <v>0</v>
      </c>
      <c r="BG508">
        <v>0</v>
      </c>
      <c r="BH508">
        <v>0</v>
      </c>
      <c r="BI508">
        <v>0</v>
      </c>
      <c r="BJ508">
        <v>0</v>
      </c>
      <c r="BK508">
        <v>0</v>
      </c>
      <c r="BL508">
        <v>0</v>
      </c>
      <c r="BM508">
        <v>0</v>
      </c>
      <c r="BN508">
        <v>0</v>
      </c>
      <c r="BO508">
        <v>0</v>
      </c>
      <c r="BP508">
        <v>0</v>
      </c>
      <c r="BQ508">
        <v>0</v>
      </c>
      <c r="BR508">
        <v>0</v>
      </c>
      <c r="BS508">
        <v>0</v>
      </c>
      <c r="BT508">
        <v>0</v>
      </c>
      <c r="BU508">
        <v>0</v>
      </c>
      <c r="BV508">
        <v>0</v>
      </c>
      <c r="BW508">
        <v>0</v>
      </c>
      <c r="BX508">
        <v>0</v>
      </c>
      <c r="BY508">
        <v>0</v>
      </c>
      <c r="BZ508">
        <v>0</v>
      </c>
      <c r="CA508">
        <v>0</v>
      </c>
      <c r="CB508">
        <v>0</v>
      </c>
    </row>
    <row r="509" spans="1:80" x14ac:dyDescent="0.2">
      <c r="A509">
        <v>0</v>
      </c>
      <c r="B509">
        <v>0</v>
      </c>
      <c r="C509">
        <v>0</v>
      </c>
      <c r="D509">
        <v>0</v>
      </c>
      <c r="E509">
        <v>0</v>
      </c>
      <c r="F509">
        <v>0</v>
      </c>
      <c r="G509">
        <v>0</v>
      </c>
      <c r="H509">
        <v>0</v>
      </c>
      <c r="I509">
        <v>0</v>
      </c>
      <c r="J509">
        <v>0</v>
      </c>
      <c r="K509">
        <v>0</v>
      </c>
      <c r="L509">
        <v>0</v>
      </c>
      <c r="M509">
        <v>0</v>
      </c>
      <c r="N509">
        <v>0</v>
      </c>
      <c r="O509">
        <v>0</v>
      </c>
      <c r="P509">
        <v>0</v>
      </c>
      <c r="Q509">
        <v>0</v>
      </c>
      <c r="R509">
        <v>0</v>
      </c>
      <c r="S509">
        <v>0</v>
      </c>
      <c r="T509">
        <v>0</v>
      </c>
      <c r="U509">
        <v>0</v>
      </c>
      <c r="V509">
        <v>0</v>
      </c>
      <c r="W509">
        <v>0</v>
      </c>
      <c r="X509">
        <v>0</v>
      </c>
      <c r="Y509">
        <v>0</v>
      </c>
      <c r="Z509">
        <v>0</v>
      </c>
      <c r="AA509">
        <v>0</v>
      </c>
      <c r="AB509">
        <v>0</v>
      </c>
      <c r="AC509">
        <v>0</v>
      </c>
      <c r="AD509">
        <v>0</v>
      </c>
      <c r="AE509">
        <v>0</v>
      </c>
      <c r="AF509">
        <v>0</v>
      </c>
      <c r="AG509">
        <v>0</v>
      </c>
      <c r="AH509">
        <v>0</v>
      </c>
      <c r="AI509">
        <v>0</v>
      </c>
      <c r="AJ509">
        <v>0</v>
      </c>
      <c r="AK509">
        <v>0</v>
      </c>
      <c r="AL509">
        <v>0</v>
      </c>
      <c r="AM509">
        <v>0</v>
      </c>
      <c r="AN509">
        <v>0</v>
      </c>
      <c r="AO509">
        <v>0</v>
      </c>
      <c r="AP509">
        <v>0</v>
      </c>
      <c r="AQ509">
        <v>0</v>
      </c>
      <c r="AR509">
        <v>0</v>
      </c>
      <c r="AS509">
        <v>0</v>
      </c>
      <c r="AT509">
        <v>0</v>
      </c>
      <c r="AU509">
        <v>0</v>
      </c>
      <c r="AV509">
        <v>0</v>
      </c>
      <c r="AW509">
        <v>0</v>
      </c>
      <c r="AX509">
        <v>0</v>
      </c>
      <c r="AY509">
        <v>0</v>
      </c>
      <c r="AZ509">
        <v>0</v>
      </c>
      <c r="BA509">
        <v>0</v>
      </c>
      <c r="BB509">
        <v>0</v>
      </c>
      <c r="BC509">
        <v>0</v>
      </c>
      <c r="BD509">
        <v>0</v>
      </c>
      <c r="BE509">
        <v>0</v>
      </c>
      <c r="BF509">
        <v>0</v>
      </c>
      <c r="BG509">
        <v>0</v>
      </c>
      <c r="BH509">
        <v>0</v>
      </c>
      <c r="BI509">
        <v>0</v>
      </c>
      <c r="BJ509">
        <v>0</v>
      </c>
      <c r="BK509">
        <v>0</v>
      </c>
      <c r="BL509">
        <v>0</v>
      </c>
      <c r="BM509">
        <v>0</v>
      </c>
      <c r="BN509">
        <v>0</v>
      </c>
      <c r="BO509">
        <v>0</v>
      </c>
      <c r="BP509">
        <v>0</v>
      </c>
      <c r="BQ509">
        <v>0</v>
      </c>
      <c r="BR509">
        <v>0</v>
      </c>
      <c r="BS509">
        <v>0</v>
      </c>
      <c r="BT509">
        <v>0</v>
      </c>
      <c r="BU509">
        <v>0</v>
      </c>
      <c r="BV509">
        <v>0</v>
      </c>
      <c r="BW509">
        <v>0</v>
      </c>
      <c r="BX509">
        <v>0</v>
      </c>
      <c r="BY509">
        <v>0</v>
      </c>
      <c r="BZ509">
        <v>0</v>
      </c>
      <c r="CA509">
        <v>0</v>
      </c>
      <c r="CB509">
        <v>0</v>
      </c>
    </row>
    <row r="510" spans="1:80" x14ac:dyDescent="0.2">
      <c r="A510">
        <v>0</v>
      </c>
      <c r="B510">
        <v>0</v>
      </c>
      <c r="C510">
        <v>0</v>
      </c>
      <c r="D510">
        <v>0</v>
      </c>
      <c r="E510">
        <v>0</v>
      </c>
      <c r="F510">
        <v>0</v>
      </c>
      <c r="G510">
        <v>0</v>
      </c>
      <c r="H510">
        <v>0</v>
      </c>
      <c r="I510">
        <v>0</v>
      </c>
      <c r="J510">
        <v>0</v>
      </c>
      <c r="K510">
        <v>0</v>
      </c>
      <c r="L510">
        <v>0</v>
      </c>
      <c r="M510">
        <v>0</v>
      </c>
      <c r="N510">
        <v>0</v>
      </c>
      <c r="O510">
        <v>0</v>
      </c>
      <c r="P510">
        <v>0</v>
      </c>
      <c r="Q510">
        <v>0</v>
      </c>
      <c r="R510">
        <v>0</v>
      </c>
      <c r="S510">
        <v>0</v>
      </c>
      <c r="T510">
        <v>0</v>
      </c>
      <c r="U510">
        <v>0</v>
      </c>
      <c r="V510">
        <v>0</v>
      </c>
      <c r="W510">
        <v>0</v>
      </c>
      <c r="X510">
        <v>0</v>
      </c>
      <c r="Y510">
        <v>0</v>
      </c>
      <c r="Z510">
        <v>0</v>
      </c>
      <c r="AA510">
        <v>0</v>
      </c>
      <c r="AB510">
        <v>0</v>
      </c>
      <c r="AC510">
        <v>0</v>
      </c>
      <c r="AD510">
        <v>0</v>
      </c>
      <c r="AE510">
        <v>0</v>
      </c>
      <c r="AF510">
        <v>0</v>
      </c>
      <c r="AG510">
        <v>0</v>
      </c>
      <c r="AH510">
        <v>0</v>
      </c>
      <c r="AI510">
        <v>0</v>
      </c>
      <c r="AJ510">
        <v>0</v>
      </c>
      <c r="AK510">
        <v>0</v>
      </c>
      <c r="AL510">
        <v>0</v>
      </c>
      <c r="AM510">
        <v>0</v>
      </c>
      <c r="AN510">
        <v>0</v>
      </c>
      <c r="AO510">
        <v>0</v>
      </c>
      <c r="AP510">
        <v>0</v>
      </c>
      <c r="AQ510">
        <v>0</v>
      </c>
      <c r="AR510">
        <v>0</v>
      </c>
      <c r="AS510">
        <v>0</v>
      </c>
      <c r="AT510">
        <v>0</v>
      </c>
      <c r="AU510">
        <v>0</v>
      </c>
      <c r="AV510">
        <v>0</v>
      </c>
      <c r="AW510">
        <v>0</v>
      </c>
      <c r="AX510">
        <v>0</v>
      </c>
      <c r="AY510">
        <v>0</v>
      </c>
      <c r="AZ510">
        <v>0</v>
      </c>
      <c r="BA510">
        <v>0</v>
      </c>
      <c r="BB510">
        <v>0</v>
      </c>
      <c r="BC510">
        <v>0</v>
      </c>
      <c r="BD510">
        <v>0</v>
      </c>
      <c r="BE510">
        <v>0</v>
      </c>
      <c r="BF510">
        <v>0</v>
      </c>
      <c r="BG510">
        <v>0</v>
      </c>
      <c r="BH510">
        <v>0</v>
      </c>
      <c r="BI510">
        <v>0</v>
      </c>
      <c r="BJ510">
        <v>0</v>
      </c>
      <c r="BK510">
        <v>0</v>
      </c>
      <c r="BL510">
        <v>0</v>
      </c>
      <c r="BM510">
        <v>0</v>
      </c>
      <c r="BN510">
        <v>0</v>
      </c>
      <c r="BO510">
        <v>0</v>
      </c>
      <c r="BP510">
        <v>0</v>
      </c>
      <c r="BQ510">
        <v>0</v>
      </c>
      <c r="BR510">
        <v>0</v>
      </c>
      <c r="BS510">
        <v>0</v>
      </c>
      <c r="BT510">
        <v>0</v>
      </c>
      <c r="BU510">
        <v>0</v>
      </c>
      <c r="BV510">
        <v>0</v>
      </c>
      <c r="BW510">
        <v>0</v>
      </c>
      <c r="BX510">
        <v>0</v>
      </c>
      <c r="BY510">
        <v>0</v>
      </c>
      <c r="BZ510">
        <v>0</v>
      </c>
      <c r="CA510">
        <v>0</v>
      </c>
      <c r="CB510">
        <v>0</v>
      </c>
    </row>
    <row r="511" spans="1:80" x14ac:dyDescent="0.2">
      <c r="A511">
        <v>0</v>
      </c>
      <c r="B511">
        <v>0</v>
      </c>
      <c r="C511">
        <v>0</v>
      </c>
      <c r="D511">
        <v>0</v>
      </c>
      <c r="E511">
        <v>0</v>
      </c>
      <c r="F511">
        <v>0</v>
      </c>
      <c r="G511">
        <v>0</v>
      </c>
      <c r="H511">
        <v>0</v>
      </c>
      <c r="I511">
        <v>0</v>
      </c>
      <c r="J511">
        <v>0</v>
      </c>
      <c r="K511">
        <v>0</v>
      </c>
      <c r="L511">
        <v>0</v>
      </c>
      <c r="M511">
        <v>0</v>
      </c>
      <c r="N511">
        <v>0</v>
      </c>
      <c r="O511">
        <v>0</v>
      </c>
      <c r="P511">
        <v>0</v>
      </c>
      <c r="Q511">
        <v>0</v>
      </c>
      <c r="R511">
        <v>0</v>
      </c>
      <c r="S511">
        <v>0</v>
      </c>
      <c r="T511">
        <v>0</v>
      </c>
      <c r="U511">
        <v>0</v>
      </c>
      <c r="V511">
        <v>0</v>
      </c>
      <c r="W511">
        <v>0</v>
      </c>
      <c r="X511">
        <v>0</v>
      </c>
      <c r="Y511">
        <v>0</v>
      </c>
      <c r="Z511">
        <v>0</v>
      </c>
      <c r="AA511">
        <v>0</v>
      </c>
      <c r="AB511">
        <v>0</v>
      </c>
      <c r="AC511">
        <v>0</v>
      </c>
      <c r="AD511">
        <v>0</v>
      </c>
      <c r="AE511">
        <v>0</v>
      </c>
      <c r="AF511">
        <v>0</v>
      </c>
      <c r="AG511">
        <v>0</v>
      </c>
      <c r="AH511">
        <v>0</v>
      </c>
      <c r="AI511">
        <v>0</v>
      </c>
      <c r="AJ511">
        <v>0</v>
      </c>
      <c r="AK511">
        <v>0</v>
      </c>
      <c r="AL511">
        <v>0</v>
      </c>
      <c r="AM511">
        <v>0</v>
      </c>
      <c r="AN511">
        <v>0</v>
      </c>
      <c r="AO511">
        <v>0</v>
      </c>
      <c r="AP511">
        <v>0</v>
      </c>
      <c r="AQ511">
        <v>0</v>
      </c>
      <c r="AR511">
        <v>0</v>
      </c>
      <c r="AS511">
        <v>0</v>
      </c>
      <c r="AT511">
        <v>0</v>
      </c>
      <c r="AU511">
        <v>0</v>
      </c>
      <c r="AV511">
        <v>0</v>
      </c>
      <c r="AW511">
        <v>0</v>
      </c>
      <c r="AX511">
        <v>0</v>
      </c>
      <c r="AY511">
        <v>0</v>
      </c>
      <c r="AZ511">
        <v>0</v>
      </c>
      <c r="BA511">
        <v>0</v>
      </c>
      <c r="BB511">
        <v>0</v>
      </c>
      <c r="BC511">
        <v>0</v>
      </c>
      <c r="BD511">
        <v>0</v>
      </c>
      <c r="BE511">
        <v>0</v>
      </c>
      <c r="BF511">
        <v>0</v>
      </c>
      <c r="BG511">
        <v>0</v>
      </c>
      <c r="BH511">
        <v>0</v>
      </c>
      <c r="BI511">
        <v>0</v>
      </c>
      <c r="BJ511">
        <v>0</v>
      </c>
      <c r="BK511">
        <v>0</v>
      </c>
      <c r="BL511">
        <v>0</v>
      </c>
      <c r="BM511">
        <v>0</v>
      </c>
      <c r="BN511">
        <v>0</v>
      </c>
      <c r="BO511">
        <v>0</v>
      </c>
      <c r="BP511">
        <v>0</v>
      </c>
      <c r="BQ511">
        <v>0</v>
      </c>
      <c r="BR511">
        <v>0</v>
      </c>
      <c r="BS511">
        <v>0</v>
      </c>
      <c r="BT511">
        <v>0</v>
      </c>
      <c r="BU511">
        <v>0</v>
      </c>
      <c r="BV511">
        <v>0</v>
      </c>
      <c r="BW511">
        <v>0</v>
      </c>
      <c r="BX511">
        <v>0</v>
      </c>
      <c r="BY511">
        <v>0</v>
      </c>
      <c r="BZ511">
        <v>0</v>
      </c>
      <c r="CA511">
        <v>0</v>
      </c>
      <c r="CB511">
        <v>0</v>
      </c>
    </row>
    <row r="512" spans="1:80" x14ac:dyDescent="0.2">
      <c r="A512">
        <v>0</v>
      </c>
      <c r="B512">
        <v>0</v>
      </c>
      <c r="C512">
        <v>0</v>
      </c>
      <c r="D512">
        <v>0</v>
      </c>
      <c r="E512">
        <v>0</v>
      </c>
      <c r="F512">
        <v>0</v>
      </c>
      <c r="G512">
        <v>0</v>
      </c>
      <c r="H512">
        <v>0</v>
      </c>
      <c r="I512">
        <v>0</v>
      </c>
      <c r="J512">
        <v>0</v>
      </c>
      <c r="K512">
        <v>0</v>
      </c>
      <c r="L512">
        <v>0</v>
      </c>
      <c r="M512">
        <v>0</v>
      </c>
      <c r="N512">
        <v>0</v>
      </c>
      <c r="O512">
        <v>0</v>
      </c>
      <c r="P512">
        <v>0</v>
      </c>
      <c r="Q512">
        <v>0</v>
      </c>
      <c r="R512">
        <v>0</v>
      </c>
      <c r="S512">
        <v>0</v>
      </c>
      <c r="T512">
        <v>0</v>
      </c>
      <c r="U512">
        <v>0</v>
      </c>
      <c r="V512">
        <v>0</v>
      </c>
      <c r="W512">
        <v>0</v>
      </c>
      <c r="X512">
        <v>0</v>
      </c>
      <c r="Y512">
        <v>0</v>
      </c>
      <c r="Z512">
        <v>0</v>
      </c>
      <c r="AA512">
        <v>0</v>
      </c>
      <c r="AB512">
        <v>0</v>
      </c>
      <c r="AC512">
        <v>0</v>
      </c>
      <c r="AD512">
        <v>0</v>
      </c>
      <c r="AE512">
        <v>0</v>
      </c>
      <c r="AF512">
        <v>0</v>
      </c>
      <c r="AG512">
        <v>0</v>
      </c>
      <c r="AH512">
        <v>0</v>
      </c>
      <c r="AI512">
        <v>0</v>
      </c>
      <c r="AJ512">
        <v>0</v>
      </c>
      <c r="AK512">
        <v>0</v>
      </c>
      <c r="AL512">
        <v>0</v>
      </c>
      <c r="AM512">
        <v>0</v>
      </c>
      <c r="AN512">
        <v>0</v>
      </c>
      <c r="AO512">
        <v>0</v>
      </c>
      <c r="AP512">
        <v>0</v>
      </c>
      <c r="AQ512">
        <v>0</v>
      </c>
      <c r="AR512">
        <v>0</v>
      </c>
      <c r="AS512">
        <v>0</v>
      </c>
      <c r="AT512">
        <v>0</v>
      </c>
      <c r="AU512">
        <v>0</v>
      </c>
      <c r="AV512">
        <v>0</v>
      </c>
      <c r="AW512">
        <v>0</v>
      </c>
      <c r="AX512">
        <v>0</v>
      </c>
      <c r="AY512">
        <v>0</v>
      </c>
      <c r="AZ512">
        <v>0</v>
      </c>
      <c r="BA512">
        <v>0</v>
      </c>
      <c r="BB512">
        <v>0</v>
      </c>
      <c r="BC512">
        <v>0</v>
      </c>
      <c r="BD512">
        <v>0</v>
      </c>
      <c r="BE512">
        <v>0</v>
      </c>
      <c r="BF512">
        <v>0</v>
      </c>
      <c r="BG512">
        <v>0</v>
      </c>
      <c r="BH512">
        <v>0</v>
      </c>
      <c r="BI512">
        <v>0</v>
      </c>
      <c r="BJ512">
        <v>0</v>
      </c>
      <c r="BK512">
        <v>0</v>
      </c>
      <c r="BL512">
        <v>0</v>
      </c>
      <c r="BM512">
        <v>0</v>
      </c>
      <c r="BN512">
        <v>0</v>
      </c>
      <c r="BO512">
        <v>0</v>
      </c>
      <c r="BP512">
        <v>0</v>
      </c>
      <c r="BQ512">
        <v>0</v>
      </c>
      <c r="BR512">
        <v>0</v>
      </c>
      <c r="BS512">
        <v>0</v>
      </c>
      <c r="BT512">
        <v>0</v>
      </c>
      <c r="BU512">
        <v>0</v>
      </c>
      <c r="BV512">
        <v>0</v>
      </c>
      <c r="BW512">
        <v>0</v>
      </c>
      <c r="BX512">
        <v>0</v>
      </c>
      <c r="BY512">
        <v>0</v>
      </c>
      <c r="BZ512">
        <v>0</v>
      </c>
      <c r="CA512">
        <v>0</v>
      </c>
      <c r="CB512">
        <v>0</v>
      </c>
    </row>
    <row r="513" spans="1:80" x14ac:dyDescent="0.2">
      <c r="A513">
        <v>0</v>
      </c>
      <c r="B513">
        <v>0</v>
      </c>
      <c r="C513">
        <v>0</v>
      </c>
      <c r="D513">
        <v>0</v>
      </c>
      <c r="E513">
        <v>0</v>
      </c>
      <c r="F513">
        <v>0</v>
      </c>
      <c r="G513">
        <v>0</v>
      </c>
      <c r="H513">
        <v>0</v>
      </c>
      <c r="I513">
        <v>0</v>
      </c>
      <c r="J513">
        <v>0</v>
      </c>
      <c r="K513">
        <v>0</v>
      </c>
      <c r="L513">
        <v>0</v>
      </c>
      <c r="M513">
        <v>0</v>
      </c>
      <c r="N513">
        <v>0</v>
      </c>
      <c r="O513">
        <v>0</v>
      </c>
      <c r="P513">
        <v>0</v>
      </c>
      <c r="Q513">
        <v>0</v>
      </c>
      <c r="R513">
        <v>0</v>
      </c>
      <c r="S513">
        <v>0</v>
      </c>
      <c r="T513">
        <v>0</v>
      </c>
      <c r="U513">
        <v>0</v>
      </c>
      <c r="V513">
        <v>0</v>
      </c>
      <c r="W513">
        <v>0</v>
      </c>
      <c r="X513">
        <v>0</v>
      </c>
      <c r="Y513">
        <v>0</v>
      </c>
      <c r="Z513">
        <v>0</v>
      </c>
      <c r="AA513">
        <v>0</v>
      </c>
      <c r="AB513">
        <v>0</v>
      </c>
      <c r="AC513">
        <v>0</v>
      </c>
      <c r="AD513">
        <v>0</v>
      </c>
      <c r="AE513">
        <v>0</v>
      </c>
      <c r="AF513">
        <v>0</v>
      </c>
      <c r="AG513">
        <v>0</v>
      </c>
      <c r="AH513">
        <v>0</v>
      </c>
      <c r="AI513">
        <v>0</v>
      </c>
      <c r="AJ513">
        <v>0</v>
      </c>
      <c r="AK513">
        <v>0</v>
      </c>
      <c r="AL513">
        <v>0</v>
      </c>
      <c r="AM513">
        <v>0</v>
      </c>
      <c r="AN513">
        <v>0</v>
      </c>
      <c r="AO513">
        <v>0</v>
      </c>
      <c r="AP513">
        <v>0</v>
      </c>
      <c r="AQ513">
        <v>0</v>
      </c>
      <c r="AR513">
        <v>0</v>
      </c>
      <c r="AS513">
        <v>0</v>
      </c>
      <c r="AT513">
        <v>0</v>
      </c>
      <c r="AU513">
        <v>0</v>
      </c>
      <c r="AV513">
        <v>0</v>
      </c>
      <c r="AW513">
        <v>0</v>
      </c>
      <c r="AX513">
        <v>0</v>
      </c>
      <c r="AY513">
        <v>0</v>
      </c>
      <c r="AZ513">
        <v>0</v>
      </c>
      <c r="BA513">
        <v>0</v>
      </c>
      <c r="BB513">
        <v>0</v>
      </c>
      <c r="BC513">
        <v>0</v>
      </c>
      <c r="BD513">
        <v>0</v>
      </c>
      <c r="BE513">
        <v>0</v>
      </c>
      <c r="BF513">
        <v>0</v>
      </c>
      <c r="BG513">
        <v>0</v>
      </c>
      <c r="BH513">
        <v>0</v>
      </c>
      <c r="BI513">
        <v>0</v>
      </c>
      <c r="BJ513">
        <v>0</v>
      </c>
      <c r="BK513">
        <v>0</v>
      </c>
      <c r="BL513">
        <v>0</v>
      </c>
      <c r="BM513">
        <v>0</v>
      </c>
      <c r="BN513">
        <v>0</v>
      </c>
      <c r="BO513">
        <v>0</v>
      </c>
      <c r="BP513">
        <v>0</v>
      </c>
      <c r="BQ513">
        <v>0</v>
      </c>
      <c r="BR513">
        <v>0</v>
      </c>
      <c r="BS513">
        <v>0</v>
      </c>
      <c r="BT513">
        <v>0</v>
      </c>
      <c r="BU513">
        <v>0</v>
      </c>
      <c r="BV513">
        <v>0</v>
      </c>
      <c r="BW513">
        <v>0</v>
      </c>
      <c r="BX513">
        <v>0</v>
      </c>
      <c r="BY513">
        <v>0</v>
      </c>
      <c r="BZ513">
        <v>0</v>
      </c>
      <c r="CA513">
        <v>0</v>
      </c>
      <c r="CB513">
        <v>0</v>
      </c>
    </row>
    <row r="514" spans="1:80" x14ac:dyDescent="0.2">
      <c r="A514">
        <v>0</v>
      </c>
      <c r="B514">
        <v>0</v>
      </c>
      <c r="C514">
        <v>0</v>
      </c>
      <c r="D514">
        <v>0</v>
      </c>
      <c r="E514">
        <v>0</v>
      </c>
      <c r="F514">
        <v>0</v>
      </c>
      <c r="G514">
        <v>0</v>
      </c>
      <c r="H514">
        <v>0</v>
      </c>
      <c r="I514">
        <v>0</v>
      </c>
      <c r="J514">
        <v>0</v>
      </c>
      <c r="K514">
        <v>0</v>
      </c>
      <c r="L514">
        <v>0</v>
      </c>
      <c r="M514">
        <v>0</v>
      </c>
      <c r="N514">
        <v>0</v>
      </c>
      <c r="O514">
        <v>0</v>
      </c>
      <c r="P514">
        <v>0</v>
      </c>
      <c r="Q514">
        <v>0</v>
      </c>
      <c r="R514">
        <v>0</v>
      </c>
      <c r="S514">
        <v>0</v>
      </c>
      <c r="T514">
        <v>0</v>
      </c>
      <c r="U514">
        <v>0</v>
      </c>
      <c r="V514">
        <v>0</v>
      </c>
      <c r="W514">
        <v>0</v>
      </c>
      <c r="X514">
        <v>0</v>
      </c>
      <c r="Y514">
        <v>0</v>
      </c>
      <c r="Z514">
        <v>0</v>
      </c>
      <c r="AA514">
        <v>0</v>
      </c>
      <c r="AB514">
        <v>0</v>
      </c>
      <c r="AC514">
        <v>0</v>
      </c>
      <c r="AD514">
        <v>0</v>
      </c>
      <c r="AE514">
        <v>0</v>
      </c>
      <c r="AF514">
        <v>0</v>
      </c>
      <c r="AG514">
        <v>0</v>
      </c>
      <c r="AH514">
        <v>0</v>
      </c>
      <c r="AI514">
        <v>0</v>
      </c>
      <c r="AJ514">
        <v>0</v>
      </c>
      <c r="AK514">
        <v>0</v>
      </c>
      <c r="AL514">
        <v>0</v>
      </c>
      <c r="AM514">
        <v>0</v>
      </c>
      <c r="AN514">
        <v>0</v>
      </c>
      <c r="AO514">
        <v>0</v>
      </c>
      <c r="AP514">
        <v>0</v>
      </c>
      <c r="AQ514">
        <v>0</v>
      </c>
      <c r="AR514">
        <v>0</v>
      </c>
      <c r="AS514">
        <v>0</v>
      </c>
      <c r="AT514">
        <v>0</v>
      </c>
      <c r="AU514">
        <v>0</v>
      </c>
      <c r="AV514">
        <v>0</v>
      </c>
      <c r="AW514">
        <v>0</v>
      </c>
      <c r="AX514">
        <v>0</v>
      </c>
      <c r="AY514">
        <v>0</v>
      </c>
      <c r="AZ514">
        <v>0</v>
      </c>
      <c r="BA514">
        <v>0</v>
      </c>
      <c r="BB514">
        <v>0</v>
      </c>
      <c r="BC514">
        <v>0</v>
      </c>
      <c r="BD514">
        <v>0</v>
      </c>
      <c r="BE514">
        <v>0</v>
      </c>
      <c r="BF514">
        <v>0</v>
      </c>
      <c r="BG514">
        <v>0</v>
      </c>
      <c r="BH514">
        <v>0</v>
      </c>
      <c r="BI514">
        <v>0</v>
      </c>
      <c r="BJ514">
        <v>0</v>
      </c>
      <c r="BK514">
        <v>0</v>
      </c>
      <c r="BL514">
        <v>0</v>
      </c>
      <c r="BM514">
        <v>0</v>
      </c>
      <c r="BN514">
        <v>0</v>
      </c>
      <c r="BO514">
        <v>0</v>
      </c>
      <c r="BP514">
        <v>0</v>
      </c>
      <c r="BQ514">
        <v>0</v>
      </c>
      <c r="BR514">
        <v>0</v>
      </c>
      <c r="BS514">
        <v>0</v>
      </c>
      <c r="BT514">
        <v>0</v>
      </c>
      <c r="BU514">
        <v>0</v>
      </c>
      <c r="BV514">
        <v>0</v>
      </c>
      <c r="BW514">
        <v>0</v>
      </c>
      <c r="BX514">
        <v>0</v>
      </c>
      <c r="BY514">
        <v>0</v>
      </c>
      <c r="BZ514">
        <v>0</v>
      </c>
      <c r="CA514">
        <v>0</v>
      </c>
      <c r="CB514">
        <v>0</v>
      </c>
    </row>
    <row r="515" spans="1:80" x14ac:dyDescent="0.2">
      <c r="A515">
        <v>0</v>
      </c>
      <c r="B515">
        <v>0</v>
      </c>
      <c r="C515">
        <v>0</v>
      </c>
      <c r="D515">
        <v>0</v>
      </c>
      <c r="E515">
        <v>0</v>
      </c>
      <c r="F515">
        <v>0</v>
      </c>
      <c r="G515">
        <v>0</v>
      </c>
      <c r="H515">
        <v>0</v>
      </c>
      <c r="I515">
        <v>0</v>
      </c>
      <c r="J515">
        <v>0</v>
      </c>
      <c r="K515">
        <v>0</v>
      </c>
      <c r="L515">
        <v>0</v>
      </c>
      <c r="M515">
        <v>0</v>
      </c>
      <c r="N515">
        <v>0</v>
      </c>
      <c r="O515">
        <v>0</v>
      </c>
      <c r="P515">
        <v>0</v>
      </c>
      <c r="Q515">
        <v>0</v>
      </c>
      <c r="R515">
        <v>0</v>
      </c>
      <c r="S515">
        <v>0</v>
      </c>
      <c r="T515">
        <v>0</v>
      </c>
      <c r="U515">
        <v>0</v>
      </c>
      <c r="V515">
        <v>0</v>
      </c>
      <c r="W515">
        <v>0</v>
      </c>
      <c r="X515">
        <v>0</v>
      </c>
      <c r="Y515">
        <v>0</v>
      </c>
      <c r="Z515">
        <v>0</v>
      </c>
      <c r="AA515">
        <v>0</v>
      </c>
      <c r="AB515">
        <v>0</v>
      </c>
      <c r="AC515">
        <v>0</v>
      </c>
      <c r="AD515">
        <v>0</v>
      </c>
      <c r="AE515">
        <v>0</v>
      </c>
      <c r="AF515">
        <v>0</v>
      </c>
      <c r="AG515">
        <v>0</v>
      </c>
      <c r="AH515">
        <v>0</v>
      </c>
      <c r="AI515">
        <v>0</v>
      </c>
      <c r="AJ515">
        <v>0</v>
      </c>
      <c r="AK515">
        <v>0</v>
      </c>
      <c r="AL515">
        <v>0</v>
      </c>
      <c r="AM515">
        <v>0</v>
      </c>
      <c r="AN515">
        <v>0</v>
      </c>
      <c r="AO515">
        <v>0</v>
      </c>
      <c r="AP515">
        <v>0</v>
      </c>
      <c r="AQ515">
        <v>0</v>
      </c>
      <c r="AR515">
        <v>0</v>
      </c>
      <c r="AS515">
        <v>0</v>
      </c>
      <c r="AT515">
        <v>0</v>
      </c>
      <c r="AU515">
        <v>0</v>
      </c>
      <c r="AV515">
        <v>0</v>
      </c>
      <c r="AW515">
        <v>0</v>
      </c>
      <c r="AX515">
        <v>0</v>
      </c>
      <c r="AY515">
        <v>0</v>
      </c>
      <c r="AZ515">
        <v>0</v>
      </c>
      <c r="BA515">
        <v>0</v>
      </c>
      <c r="BB515">
        <v>0</v>
      </c>
      <c r="BC515">
        <v>0</v>
      </c>
      <c r="BD515">
        <v>0</v>
      </c>
      <c r="BE515">
        <v>0</v>
      </c>
      <c r="BF515">
        <v>0</v>
      </c>
      <c r="BG515">
        <v>0</v>
      </c>
      <c r="BH515">
        <v>0</v>
      </c>
      <c r="BI515">
        <v>0</v>
      </c>
      <c r="BJ515">
        <v>0</v>
      </c>
      <c r="BK515">
        <v>0</v>
      </c>
      <c r="BL515">
        <v>0</v>
      </c>
      <c r="BM515">
        <v>0</v>
      </c>
      <c r="BN515">
        <v>0</v>
      </c>
      <c r="BO515">
        <v>0</v>
      </c>
      <c r="BP515">
        <v>0</v>
      </c>
      <c r="BQ515">
        <v>0</v>
      </c>
      <c r="BR515">
        <v>0</v>
      </c>
      <c r="BS515">
        <v>0</v>
      </c>
      <c r="BT515">
        <v>0</v>
      </c>
      <c r="BU515">
        <v>0</v>
      </c>
      <c r="BV515">
        <v>0</v>
      </c>
      <c r="BW515">
        <v>0</v>
      </c>
      <c r="BX515">
        <v>0</v>
      </c>
      <c r="BY515">
        <v>0</v>
      </c>
      <c r="BZ515">
        <v>0</v>
      </c>
      <c r="CA515">
        <v>0</v>
      </c>
      <c r="CB515">
        <v>0</v>
      </c>
    </row>
    <row r="516" spans="1:80" x14ac:dyDescent="0.2">
      <c r="A516">
        <v>0</v>
      </c>
      <c r="B516">
        <v>0</v>
      </c>
      <c r="C516">
        <v>0</v>
      </c>
      <c r="D516">
        <v>0</v>
      </c>
      <c r="E516">
        <v>0</v>
      </c>
      <c r="F516">
        <v>0</v>
      </c>
      <c r="G516">
        <v>0</v>
      </c>
      <c r="H516">
        <v>0</v>
      </c>
      <c r="I516">
        <v>0</v>
      </c>
      <c r="J516">
        <v>0</v>
      </c>
      <c r="K516">
        <v>0</v>
      </c>
      <c r="L516">
        <v>0</v>
      </c>
      <c r="M516">
        <v>0</v>
      </c>
      <c r="N516">
        <v>0</v>
      </c>
      <c r="O516">
        <v>0</v>
      </c>
      <c r="P516">
        <v>0</v>
      </c>
      <c r="Q516">
        <v>0</v>
      </c>
      <c r="R516">
        <v>0</v>
      </c>
      <c r="S516">
        <v>0</v>
      </c>
      <c r="T516">
        <v>0</v>
      </c>
      <c r="U516">
        <v>0</v>
      </c>
      <c r="V516">
        <v>0</v>
      </c>
      <c r="W516">
        <v>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v>0</v>
      </c>
      <c r="BN516">
        <v>0</v>
      </c>
      <c r="BO516">
        <v>0</v>
      </c>
      <c r="BP516">
        <v>0</v>
      </c>
      <c r="BQ516">
        <v>0</v>
      </c>
      <c r="BR516">
        <v>0</v>
      </c>
      <c r="BS516">
        <v>0</v>
      </c>
      <c r="BT516">
        <v>0</v>
      </c>
      <c r="BU516">
        <v>0</v>
      </c>
      <c r="BV516">
        <v>0</v>
      </c>
      <c r="BW516">
        <v>0</v>
      </c>
      <c r="BX516">
        <v>0</v>
      </c>
      <c r="BY516">
        <v>0</v>
      </c>
      <c r="BZ516">
        <v>0</v>
      </c>
      <c r="CA516">
        <v>0</v>
      </c>
      <c r="CB516">
        <v>0</v>
      </c>
    </row>
    <row r="517" spans="1:80" x14ac:dyDescent="0.2">
      <c r="A517">
        <v>0</v>
      </c>
      <c r="B517">
        <v>0</v>
      </c>
      <c r="C517">
        <v>0</v>
      </c>
      <c r="D517">
        <v>0</v>
      </c>
      <c r="E517">
        <v>0</v>
      </c>
      <c r="F517">
        <v>0</v>
      </c>
      <c r="G517">
        <v>0</v>
      </c>
      <c r="H517">
        <v>0</v>
      </c>
      <c r="I517">
        <v>0</v>
      </c>
      <c r="J517">
        <v>0</v>
      </c>
      <c r="K517">
        <v>0</v>
      </c>
      <c r="L517">
        <v>0</v>
      </c>
      <c r="M517">
        <v>0</v>
      </c>
      <c r="N517">
        <v>0</v>
      </c>
      <c r="O517">
        <v>0</v>
      </c>
      <c r="P517">
        <v>0</v>
      </c>
      <c r="Q517">
        <v>0</v>
      </c>
      <c r="R517">
        <v>0</v>
      </c>
      <c r="S517">
        <v>0</v>
      </c>
      <c r="T517">
        <v>0</v>
      </c>
      <c r="U517">
        <v>0</v>
      </c>
      <c r="V517">
        <v>0</v>
      </c>
      <c r="W517">
        <v>0</v>
      </c>
      <c r="X517">
        <v>0</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v>0</v>
      </c>
      <c r="AT517">
        <v>0</v>
      </c>
      <c r="AU517">
        <v>0</v>
      </c>
      <c r="AV517">
        <v>0</v>
      </c>
      <c r="AW517">
        <v>0</v>
      </c>
      <c r="AX517">
        <v>0</v>
      </c>
      <c r="AY517">
        <v>0</v>
      </c>
      <c r="AZ517">
        <v>0</v>
      </c>
      <c r="BA517">
        <v>0</v>
      </c>
      <c r="BB517">
        <v>0</v>
      </c>
      <c r="BC517">
        <v>0</v>
      </c>
      <c r="BD517">
        <v>0</v>
      </c>
      <c r="BE517">
        <v>0</v>
      </c>
      <c r="BF517">
        <v>0</v>
      </c>
      <c r="BG517">
        <v>0</v>
      </c>
      <c r="BH517">
        <v>0</v>
      </c>
      <c r="BI517">
        <v>0</v>
      </c>
      <c r="BJ517">
        <v>0</v>
      </c>
      <c r="BK517">
        <v>0</v>
      </c>
      <c r="BL517">
        <v>0</v>
      </c>
      <c r="BM517">
        <v>0</v>
      </c>
      <c r="BN517">
        <v>0</v>
      </c>
      <c r="BO517">
        <v>0</v>
      </c>
      <c r="BP517">
        <v>0</v>
      </c>
      <c r="BQ517">
        <v>0</v>
      </c>
      <c r="BR517">
        <v>0</v>
      </c>
      <c r="BS517">
        <v>0</v>
      </c>
      <c r="BT517">
        <v>0</v>
      </c>
      <c r="BU517">
        <v>0</v>
      </c>
      <c r="BV517">
        <v>0</v>
      </c>
      <c r="BW517">
        <v>0</v>
      </c>
      <c r="BX517">
        <v>0</v>
      </c>
      <c r="BY517">
        <v>0</v>
      </c>
      <c r="BZ517">
        <v>0</v>
      </c>
      <c r="CA517">
        <v>0</v>
      </c>
      <c r="CB517">
        <v>0</v>
      </c>
    </row>
    <row r="518" spans="1:80" x14ac:dyDescent="0.2">
      <c r="A518">
        <v>0</v>
      </c>
      <c r="B518">
        <v>0</v>
      </c>
      <c r="C518">
        <v>0</v>
      </c>
      <c r="D518">
        <v>0</v>
      </c>
      <c r="E518">
        <v>0</v>
      </c>
      <c r="F518">
        <v>0</v>
      </c>
      <c r="G518">
        <v>0</v>
      </c>
      <c r="H518">
        <v>0</v>
      </c>
      <c r="I518">
        <v>0</v>
      </c>
      <c r="J518">
        <v>0</v>
      </c>
      <c r="K518">
        <v>0</v>
      </c>
      <c r="L518">
        <v>0</v>
      </c>
      <c r="M518">
        <v>0</v>
      </c>
      <c r="N518">
        <v>0</v>
      </c>
      <c r="O518">
        <v>0</v>
      </c>
      <c r="P518">
        <v>0</v>
      </c>
      <c r="Q518">
        <v>0</v>
      </c>
      <c r="R518">
        <v>0</v>
      </c>
      <c r="S518">
        <v>0</v>
      </c>
      <c r="T518">
        <v>0</v>
      </c>
      <c r="U518">
        <v>0</v>
      </c>
      <c r="V518">
        <v>0</v>
      </c>
      <c r="W518">
        <v>0</v>
      </c>
      <c r="X518">
        <v>0</v>
      </c>
      <c r="Y518">
        <v>0</v>
      </c>
      <c r="Z518">
        <v>0</v>
      </c>
      <c r="AA518">
        <v>0</v>
      </c>
      <c r="AB518">
        <v>0</v>
      </c>
      <c r="AC518">
        <v>0</v>
      </c>
      <c r="AD518">
        <v>0</v>
      </c>
      <c r="AE518">
        <v>0</v>
      </c>
      <c r="AF518">
        <v>0</v>
      </c>
      <c r="AG518">
        <v>0</v>
      </c>
      <c r="AH518">
        <v>0</v>
      </c>
      <c r="AI518">
        <v>0</v>
      </c>
      <c r="AJ518">
        <v>0</v>
      </c>
      <c r="AK518">
        <v>0</v>
      </c>
      <c r="AL518">
        <v>0</v>
      </c>
      <c r="AM518">
        <v>0</v>
      </c>
      <c r="AN518">
        <v>0</v>
      </c>
      <c r="AO518">
        <v>0</v>
      </c>
      <c r="AP518">
        <v>0</v>
      </c>
      <c r="AQ518">
        <v>0</v>
      </c>
      <c r="AR518">
        <v>0</v>
      </c>
      <c r="AS518">
        <v>0</v>
      </c>
      <c r="AT518">
        <v>0</v>
      </c>
      <c r="AU518">
        <v>0</v>
      </c>
      <c r="AV518">
        <v>0</v>
      </c>
      <c r="AW518">
        <v>0</v>
      </c>
      <c r="AX518">
        <v>0</v>
      </c>
      <c r="AY518">
        <v>0</v>
      </c>
      <c r="AZ518">
        <v>0</v>
      </c>
      <c r="BA518">
        <v>0</v>
      </c>
      <c r="BB518">
        <v>0</v>
      </c>
      <c r="BC518">
        <v>0</v>
      </c>
      <c r="BD518">
        <v>0</v>
      </c>
      <c r="BE518">
        <v>0</v>
      </c>
      <c r="BF518">
        <v>0</v>
      </c>
      <c r="BG518">
        <v>0</v>
      </c>
      <c r="BH518">
        <v>0</v>
      </c>
      <c r="BI518">
        <v>0</v>
      </c>
      <c r="BJ518">
        <v>0</v>
      </c>
      <c r="BK518">
        <v>0</v>
      </c>
      <c r="BL518">
        <v>0</v>
      </c>
      <c r="BM518">
        <v>0</v>
      </c>
      <c r="BN518">
        <v>0</v>
      </c>
      <c r="BO518">
        <v>0</v>
      </c>
      <c r="BP518">
        <v>0</v>
      </c>
      <c r="BQ518">
        <v>0</v>
      </c>
      <c r="BR518">
        <v>0</v>
      </c>
      <c r="BS518">
        <v>0</v>
      </c>
      <c r="BT518">
        <v>0</v>
      </c>
      <c r="BU518">
        <v>0</v>
      </c>
      <c r="BV518">
        <v>0</v>
      </c>
      <c r="BW518">
        <v>0</v>
      </c>
      <c r="BX518">
        <v>0</v>
      </c>
      <c r="BY518">
        <v>0</v>
      </c>
      <c r="BZ518">
        <v>0</v>
      </c>
      <c r="CA518">
        <v>0</v>
      </c>
      <c r="CB518">
        <v>0</v>
      </c>
    </row>
    <row r="519" spans="1:80" x14ac:dyDescent="0.2">
      <c r="A519">
        <v>0</v>
      </c>
      <c r="B519">
        <v>0</v>
      </c>
      <c r="C519">
        <v>0</v>
      </c>
      <c r="D519">
        <v>0</v>
      </c>
      <c r="E519">
        <v>0</v>
      </c>
      <c r="F519">
        <v>0</v>
      </c>
      <c r="G519">
        <v>0</v>
      </c>
      <c r="H519">
        <v>0</v>
      </c>
      <c r="I519">
        <v>0</v>
      </c>
      <c r="J519">
        <v>0</v>
      </c>
      <c r="K519">
        <v>0</v>
      </c>
      <c r="L519">
        <v>0</v>
      </c>
      <c r="M519">
        <v>0</v>
      </c>
      <c r="N519">
        <v>0</v>
      </c>
      <c r="O519">
        <v>0</v>
      </c>
      <c r="P519">
        <v>0</v>
      </c>
      <c r="Q519">
        <v>0</v>
      </c>
      <c r="R519">
        <v>0</v>
      </c>
      <c r="S519">
        <v>0</v>
      </c>
      <c r="T519">
        <v>0</v>
      </c>
      <c r="U519">
        <v>0</v>
      </c>
      <c r="V519">
        <v>0</v>
      </c>
      <c r="W519">
        <v>0</v>
      </c>
      <c r="X519">
        <v>0</v>
      </c>
      <c r="Y519">
        <v>0</v>
      </c>
      <c r="Z519">
        <v>0</v>
      </c>
      <c r="AA519">
        <v>0</v>
      </c>
      <c r="AB519">
        <v>0</v>
      </c>
      <c r="AC519">
        <v>0</v>
      </c>
      <c r="AD519">
        <v>0</v>
      </c>
      <c r="AE519">
        <v>0</v>
      </c>
      <c r="AF519">
        <v>0</v>
      </c>
      <c r="AG519">
        <v>0</v>
      </c>
      <c r="AH519">
        <v>0</v>
      </c>
      <c r="AI519">
        <v>0</v>
      </c>
      <c r="AJ519">
        <v>0</v>
      </c>
      <c r="AK519">
        <v>0</v>
      </c>
      <c r="AL519">
        <v>0</v>
      </c>
      <c r="AM519">
        <v>0</v>
      </c>
      <c r="AN519">
        <v>0</v>
      </c>
      <c r="AO519">
        <v>0</v>
      </c>
      <c r="AP519">
        <v>0</v>
      </c>
      <c r="AQ519">
        <v>0</v>
      </c>
      <c r="AR519">
        <v>0</v>
      </c>
      <c r="AS519">
        <v>0</v>
      </c>
      <c r="AT519">
        <v>0</v>
      </c>
      <c r="AU519">
        <v>0</v>
      </c>
      <c r="AV519">
        <v>0</v>
      </c>
      <c r="AW519">
        <v>0</v>
      </c>
      <c r="AX519">
        <v>0</v>
      </c>
      <c r="AY519">
        <v>0</v>
      </c>
      <c r="AZ519">
        <v>0</v>
      </c>
      <c r="BA519">
        <v>0</v>
      </c>
      <c r="BB519">
        <v>0</v>
      </c>
      <c r="BC519">
        <v>0</v>
      </c>
      <c r="BD519">
        <v>0</v>
      </c>
      <c r="BE519">
        <v>0</v>
      </c>
      <c r="BF519">
        <v>0</v>
      </c>
      <c r="BG519">
        <v>0</v>
      </c>
      <c r="BH519">
        <v>0</v>
      </c>
      <c r="BI519">
        <v>0</v>
      </c>
      <c r="BJ519">
        <v>0</v>
      </c>
      <c r="BK519">
        <v>0</v>
      </c>
      <c r="BL519">
        <v>0</v>
      </c>
      <c r="BM519">
        <v>0</v>
      </c>
      <c r="BN519">
        <v>0</v>
      </c>
      <c r="BO519">
        <v>0</v>
      </c>
      <c r="BP519">
        <v>0</v>
      </c>
      <c r="BQ519">
        <v>0</v>
      </c>
      <c r="BR519">
        <v>0</v>
      </c>
      <c r="BS519">
        <v>0</v>
      </c>
      <c r="BT519">
        <v>0</v>
      </c>
      <c r="BU519">
        <v>0</v>
      </c>
      <c r="BV519">
        <v>0</v>
      </c>
      <c r="BW519">
        <v>0</v>
      </c>
      <c r="BX519">
        <v>0</v>
      </c>
      <c r="BY519">
        <v>0</v>
      </c>
      <c r="BZ519">
        <v>0</v>
      </c>
      <c r="CA519">
        <v>0</v>
      </c>
      <c r="CB519">
        <v>0</v>
      </c>
    </row>
    <row r="520" spans="1:80" x14ac:dyDescent="0.2">
      <c r="A520">
        <v>0</v>
      </c>
      <c r="B520">
        <v>0</v>
      </c>
      <c r="C520">
        <v>0</v>
      </c>
      <c r="D520">
        <v>0</v>
      </c>
      <c r="E520">
        <v>0</v>
      </c>
      <c r="F520">
        <v>0</v>
      </c>
      <c r="G520">
        <v>0</v>
      </c>
      <c r="H520">
        <v>0</v>
      </c>
      <c r="I520">
        <v>0</v>
      </c>
      <c r="J520">
        <v>0</v>
      </c>
      <c r="K520">
        <v>0</v>
      </c>
      <c r="L520">
        <v>0</v>
      </c>
      <c r="M520">
        <v>0</v>
      </c>
      <c r="N520">
        <v>0</v>
      </c>
      <c r="O520">
        <v>0</v>
      </c>
      <c r="P520">
        <v>0</v>
      </c>
      <c r="Q520">
        <v>0</v>
      </c>
      <c r="R520">
        <v>0</v>
      </c>
      <c r="S520">
        <v>0</v>
      </c>
      <c r="T520">
        <v>0</v>
      </c>
      <c r="U520">
        <v>0</v>
      </c>
      <c r="V520">
        <v>0</v>
      </c>
      <c r="W520">
        <v>0</v>
      </c>
      <c r="X520">
        <v>0</v>
      </c>
      <c r="Y520">
        <v>0</v>
      </c>
      <c r="Z520">
        <v>0</v>
      </c>
      <c r="AA520">
        <v>0</v>
      </c>
      <c r="AB520">
        <v>0</v>
      </c>
      <c r="AC520">
        <v>0</v>
      </c>
      <c r="AD520">
        <v>0</v>
      </c>
      <c r="AE520">
        <v>0</v>
      </c>
      <c r="AF520">
        <v>0</v>
      </c>
      <c r="AG520">
        <v>0</v>
      </c>
      <c r="AH520">
        <v>0</v>
      </c>
      <c r="AI520">
        <v>0</v>
      </c>
      <c r="AJ520">
        <v>0</v>
      </c>
      <c r="AK520">
        <v>0</v>
      </c>
      <c r="AL520">
        <v>0</v>
      </c>
      <c r="AM520">
        <v>0</v>
      </c>
      <c r="AN520">
        <v>0</v>
      </c>
      <c r="AO520">
        <v>0</v>
      </c>
      <c r="AP520">
        <v>0</v>
      </c>
      <c r="AQ520">
        <v>0</v>
      </c>
      <c r="AR520">
        <v>0</v>
      </c>
      <c r="AS520">
        <v>0</v>
      </c>
      <c r="AT520">
        <v>0</v>
      </c>
      <c r="AU520">
        <v>0</v>
      </c>
      <c r="AV520">
        <v>0</v>
      </c>
      <c r="AW520">
        <v>0</v>
      </c>
      <c r="AX520">
        <v>0</v>
      </c>
      <c r="AY520">
        <v>0</v>
      </c>
      <c r="AZ520">
        <v>0</v>
      </c>
      <c r="BA520">
        <v>0</v>
      </c>
      <c r="BB520">
        <v>0</v>
      </c>
      <c r="BC520">
        <v>0</v>
      </c>
      <c r="BD520">
        <v>0</v>
      </c>
      <c r="BE520">
        <v>0</v>
      </c>
      <c r="BF520">
        <v>0</v>
      </c>
      <c r="BG520">
        <v>0</v>
      </c>
      <c r="BH520">
        <v>0</v>
      </c>
      <c r="BI520">
        <v>0</v>
      </c>
      <c r="BJ520">
        <v>0</v>
      </c>
      <c r="BK520">
        <v>0</v>
      </c>
      <c r="BL520">
        <v>0</v>
      </c>
      <c r="BM520">
        <v>0</v>
      </c>
      <c r="BN520">
        <v>0</v>
      </c>
      <c r="BO520">
        <v>0</v>
      </c>
      <c r="BP520">
        <v>0</v>
      </c>
      <c r="BQ520">
        <v>0</v>
      </c>
      <c r="BR520">
        <v>0</v>
      </c>
      <c r="BS520">
        <v>0</v>
      </c>
      <c r="BT520">
        <v>0</v>
      </c>
      <c r="BU520">
        <v>0</v>
      </c>
      <c r="BV520">
        <v>0</v>
      </c>
      <c r="BW520">
        <v>0</v>
      </c>
      <c r="BX520">
        <v>0</v>
      </c>
      <c r="BY520">
        <v>0</v>
      </c>
      <c r="BZ520">
        <v>0</v>
      </c>
      <c r="CA520">
        <v>0</v>
      </c>
      <c r="CB520">
        <v>0</v>
      </c>
    </row>
    <row r="521" spans="1:80" x14ac:dyDescent="0.2">
      <c r="A521">
        <v>0</v>
      </c>
      <c r="B521">
        <v>0</v>
      </c>
      <c r="C521">
        <v>0</v>
      </c>
      <c r="D521">
        <v>0</v>
      </c>
      <c r="E521">
        <v>0</v>
      </c>
      <c r="F521">
        <v>0</v>
      </c>
      <c r="G521">
        <v>0</v>
      </c>
      <c r="H521">
        <v>0</v>
      </c>
      <c r="I521">
        <v>0</v>
      </c>
      <c r="J521">
        <v>0</v>
      </c>
      <c r="K521">
        <v>0</v>
      </c>
      <c r="L521">
        <v>0</v>
      </c>
      <c r="M521">
        <v>0</v>
      </c>
      <c r="N521">
        <v>0</v>
      </c>
      <c r="O521">
        <v>0</v>
      </c>
      <c r="P521">
        <v>0</v>
      </c>
      <c r="Q521">
        <v>0</v>
      </c>
      <c r="R521">
        <v>0</v>
      </c>
      <c r="S521">
        <v>0</v>
      </c>
      <c r="T521">
        <v>0</v>
      </c>
      <c r="U521">
        <v>0</v>
      </c>
      <c r="V521">
        <v>0</v>
      </c>
      <c r="W521">
        <v>0</v>
      </c>
      <c r="X521">
        <v>0</v>
      </c>
      <c r="Y521">
        <v>0</v>
      </c>
      <c r="Z521">
        <v>0</v>
      </c>
      <c r="AA521">
        <v>0</v>
      </c>
      <c r="AB521">
        <v>0</v>
      </c>
      <c r="AC521">
        <v>0</v>
      </c>
      <c r="AD521">
        <v>0</v>
      </c>
      <c r="AE521">
        <v>0</v>
      </c>
      <c r="AF521">
        <v>0</v>
      </c>
      <c r="AG521">
        <v>0</v>
      </c>
      <c r="AH521">
        <v>0</v>
      </c>
      <c r="AI521">
        <v>0</v>
      </c>
      <c r="AJ521">
        <v>0</v>
      </c>
      <c r="AK521">
        <v>0</v>
      </c>
      <c r="AL521">
        <v>0</v>
      </c>
      <c r="AM521">
        <v>0</v>
      </c>
      <c r="AN521">
        <v>0</v>
      </c>
      <c r="AO521">
        <v>0</v>
      </c>
      <c r="AP521">
        <v>0</v>
      </c>
      <c r="AQ521">
        <v>0</v>
      </c>
      <c r="AR521">
        <v>0</v>
      </c>
      <c r="AS521">
        <v>0</v>
      </c>
      <c r="AT521">
        <v>0</v>
      </c>
      <c r="AU521">
        <v>0</v>
      </c>
      <c r="AV521">
        <v>0</v>
      </c>
      <c r="AW521">
        <v>0</v>
      </c>
      <c r="AX521">
        <v>0</v>
      </c>
      <c r="AY521">
        <v>0</v>
      </c>
      <c r="AZ521">
        <v>0</v>
      </c>
      <c r="BA521">
        <v>0</v>
      </c>
      <c r="BB521">
        <v>0</v>
      </c>
      <c r="BC521">
        <v>0</v>
      </c>
      <c r="BD521">
        <v>0</v>
      </c>
      <c r="BE521">
        <v>0</v>
      </c>
      <c r="BF521">
        <v>0</v>
      </c>
      <c r="BG521">
        <v>0</v>
      </c>
      <c r="BH521">
        <v>0</v>
      </c>
      <c r="BI521">
        <v>0</v>
      </c>
      <c r="BJ521">
        <v>0</v>
      </c>
      <c r="BK521">
        <v>0</v>
      </c>
      <c r="BL521">
        <v>0</v>
      </c>
      <c r="BM521">
        <v>0</v>
      </c>
      <c r="BN521">
        <v>0</v>
      </c>
      <c r="BO521">
        <v>0</v>
      </c>
      <c r="BP521">
        <v>0</v>
      </c>
      <c r="BQ521">
        <v>0</v>
      </c>
      <c r="BR521">
        <v>0</v>
      </c>
      <c r="BS521">
        <v>0</v>
      </c>
      <c r="BT521">
        <v>0</v>
      </c>
      <c r="BU521">
        <v>0</v>
      </c>
      <c r="BV521">
        <v>0</v>
      </c>
      <c r="BW521">
        <v>0</v>
      </c>
      <c r="BX521">
        <v>0</v>
      </c>
      <c r="BY521">
        <v>0</v>
      </c>
      <c r="BZ521">
        <v>0</v>
      </c>
      <c r="CA521">
        <v>0</v>
      </c>
      <c r="CB521">
        <v>0</v>
      </c>
    </row>
    <row r="522" spans="1:80" x14ac:dyDescent="0.2">
      <c r="A522">
        <v>0</v>
      </c>
      <c r="B522">
        <v>0</v>
      </c>
      <c r="C522">
        <v>0</v>
      </c>
      <c r="D522">
        <v>0</v>
      </c>
      <c r="E522">
        <v>0</v>
      </c>
      <c r="F522">
        <v>0</v>
      </c>
      <c r="G522">
        <v>0</v>
      </c>
      <c r="H522">
        <v>0</v>
      </c>
      <c r="I522">
        <v>0</v>
      </c>
      <c r="J522">
        <v>0</v>
      </c>
      <c r="K522">
        <v>0</v>
      </c>
      <c r="L522">
        <v>0</v>
      </c>
      <c r="M522">
        <v>0</v>
      </c>
      <c r="N522">
        <v>0</v>
      </c>
      <c r="O522">
        <v>0</v>
      </c>
      <c r="P522">
        <v>0</v>
      </c>
      <c r="Q522">
        <v>0</v>
      </c>
      <c r="R522">
        <v>0</v>
      </c>
      <c r="S522">
        <v>0</v>
      </c>
      <c r="T522">
        <v>0</v>
      </c>
      <c r="U522">
        <v>0</v>
      </c>
      <c r="V522">
        <v>0</v>
      </c>
      <c r="W522">
        <v>0</v>
      </c>
      <c r="X522">
        <v>0</v>
      </c>
      <c r="Y522">
        <v>0</v>
      </c>
      <c r="Z522">
        <v>0</v>
      </c>
      <c r="AA522">
        <v>0</v>
      </c>
      <c r="AB522">
        <v>0</v>
      </c>
      <c r="AC522">
        <v>0</v>
      </c>
      <c r="AD522">
        <v>0</v>
      </c>
      <c r="AE522">
        <v>0</v>
      </c>
      <c r="AF522">
        <v>0</v>
      </c>
      <c r="AG522">
        <v>0</v>
      </c>
      <c r="AH522">
        <v>0</v>
      </c>
      <c r="AI522">
        <v>0</v>
      </c>
      <c r="AJ522">
        <v>0</v>
      </c>
      <c r="AK522">
        <v>0</v>
      </c>
      <c r="AL522">
        <v>0</v>
      </c>
      <c r="AM522">
        <v>0</v>
      </c>
      <c r="AN522">
        <v>0</v>
      </c>
      <c r="AO522">
        <v>0</v>
      </c>
      <c r="AP522">
        <v>0</v>
      </c>
      <c r="AQ522">
        <v>0</v>
      </c>
      <c r="AR522">
        <v>0</v>
      </c>
      <c r="AS522">
        <v>0</v>
      </c>
      <c r="AT522">
        <v>0</v>
      </c>
      <c r="AU522">
        <v>0</v>
      </c>
      <c r="AV522">
        <v>0</v>
      </c>
      <c r="AW522">
        <v>0</v>
      </c>
      <c r="AX522">
        <v>0</v>
      </c>
      <c r="AY522">
        <v>0</v>
      </c>
      <c r="AZ522">
        <v>0</v>
      </c>
      <c r="BA522">
        <v>0</v>
      </c>
      <c r="BB522">
        <v>0</v>
      </c>
      <c r="BC522">
        <v>0</v>
      </c>
      <c r="BD522">
        <v>0</v>
      </c>
      <c r="BE522">
        <v>0</v>
      </c>
      <c r="BF522">
        <v>0</v>
      </c>
      <c r="BG522">
        <v>0</v>
      </c>
      <c r="BH522">
        <v>0</v>
      </c>
      <c r="BI522">
        <v>0</v>
      </c>
      <c r="BJ522">
        <v>0</v>
      </c>
      <c r="BK522">
        <v>0</v>
      </c>
      <c r="BL522">
        <v>0</v>
      </c>
      <c r="BM522">
        <v>0</v>
      </c>
      <c r="BN522">
        <v>0</v>
      </c>
      <c r="BO522">
        <v>0</v>
      </c>
      <c r="BP522">
        <v>0</v>
      </c>
      <c r="BQ522">
        <v>0</v>
      </c>
      <c r="BR522">
        <v>0</v>
      </c>
      <c r="BS522">
        <v>0</v>
      </c>
      <c r="BT522">
        <v>0</v>
      </c>
      <c r="BU522">
        <v>0</v>
      </c>
      <c r="BV522">
        <v>0</v>
      </c>
      <c r="BW522">
        <v>0</v>
      </c>
      <c r="BX522">
        <v>0</v>
      </c>
      <c r="BY522">
        <v>0</v>
      </c>
      <c r="BZ522">
        <v>0</v>
      </c>
      <c r="CA522">
        <v>0</v>
      </c>
      <c r="CB522">
        <v>0</v>
      </c>
    </row>
    <row r="523" spans="1:80" x14ac:dyDescent="0.2">
      <c r="A523">
        <v>0</v>
      </c>
      <c r="B523">
        <v>0</v>
      </c>
      <c r="C523">
        <v>0</v>
      </c>
      <c r="D523">
        <v>0</v>
      </c>
      <c r="E523">
        <v>0</v>
      </c>
      <c r="F523">
        <v>0</v>
      </c>
      <c r="G523">
        <v>0</v>
      </c>
      <c r="H523">
        <v>0</v>
      </c>
      <c r="I523">
        <v>0</v>
      </c>
      <c r="J523">
        <v>0</v>
      </c>
      <c r="K523">
        <v>0</v>
      </c>
      <c r="L523">
        <v>0</v>
      </c>
      <c r="M523">
        <v>0</v>
      </c>
      <c r="N523">
        <v>0</v>
      </c>
      <c r="O523">
        <v>0</v>
      </c>
      <c r="P523">
        <v>0</v>
      </c>
      <c r="Q523">
        <v>0</v>
      </c>
      <c r="R523">
        <v>0</v>
      </c>
      <c r="S523">
        <v>0</v>
      </c>
      <c r="T523">
        <v>0</v>
      </c>
      <c r="U523">
        <v>0</v>
      </c>
      <c r="V523">
        <v>0</v>
      </c>
      <c r="W523">
        <v>0</v>
      </c>
      <c r="X523">
        <v>0</v>
      </c>
      <c r="Y523">
        <v>0</v>
      </c>
      <c r="Z523">
        <v>0</v>
      </c>
      <c r="AA523">
        <v>0</v>
      </c>
      <c r="AB523">
        <v>0</v>
      </c>
      <c r="AC523">
        <v>0</v>
      </c>
      <c r="AD523">
        <v>0</v>
      </c>
      <c r="AE523">
        <v>0</v>
      </c>
      <c r="AF523">
        <v>0</v>
      </c>
      <c r="AG523">
        <v>0</v>
      </c>
      <c r="AH523">
        <v>0</v>
      </c>
      <c r="AI523">
        <v>0</v>
      </c>
      <c r="AJ523">
        <v>0</v>
      </c>
      <c r="AK523">
        <v>0</v>
      </c>
      <c r="AL523">
        <v>0</v>
      </c>
      <c r="AM523">
        <v>0</v>
      </c>
      <c r="AN523">
        <v>0</v>
      </c>
      <c r="AO523">
        <v>0</v>
      </c>
      <c r="AP523">
        <v>0</v>
      </c>
      <c r="AQ523">
        <v>0</v>
      </c>
      <c r="AR523">
        <v>0</v>
      </c>
      <c r="AS523">
        <v>0</v>
      </c>
      <c r="AT523">
        <v>0</v>
      </c>
      <c r="AU523">
        <v>0</v>
      </c>
      <c r="AV523">
        <v>0</v>
      </c>
      <c r="AW523">
        <v>0</v>
      </c>
      <c r="AX523">
        <v>0</v>
      </c>
      <c r="AY523">
        <v>0</v>
      </c>
      <c r="AZ523">
        <v>0</v>
      </c>
      <c r="BA523">
        <v>0</v>
      </c>
      <c r="BB523">
        <v>0</v>
      </c>
      <c r="BC523">
        <v>0</v>
      </c>
      <c r="BD523">
        <v>0</v>
      </c>
      <c r="BE523">
        <v>0</v>
      </c>
      <c r="BF523">
        <v>0</v>
      </c>
      <c r="BG523">
        <v>0</v>
      </c>
      <c r="BH523">
        <v>0</v>
      </c>
      <c r="BI523">
        <v>0</v>
      </c>
      <c r="BJ523">
        <v>0</v>
      </c>
      <c r="BK523">
        <v>0</v>
      </c>
      <c r="BL523">
        <v>0</v>
      </c>
      <c r="BM523">
        <v>0</v>
      </c>
      <c r="BN523">
        <v>0</v>
      </c>
      <c r="BO523">
        <v>0</v>
      </c>
      <c r="BP523">
        <v>0</v>
      </c>
      <c r="BQ523">
        <v>0</v>
      </c>
      <c r="BR523">
        <v>0</v>
      </c>
      <c r="BS523">
        <v>0</v>
      </c>
      <c r="BT523">
        <v>0</v>
      </c>
      <c r="BU523">
        <v>0</v>
      </c>
      <c r="BV523">
        <v>0</v>
      </c>
      <c r="BW523">
        <v>0</v>
      </c>
      <c r="BX523">
        <v>0</v>
      </c>
      <c r="BY523">
        <v>0</v>
      </c>
      <c r="BZ523">
        <v>0</v>
      </c>
      <c r="CA523">
        <v>0</v>
      </c>
      <c r="CB523">
        <v>0</v>
      </c>
    </row>
    <row r="524" spans="1:80" x14ac:dyDescent="0.2">
      <c r="A524">
        <v>0</v>
      </c>
      <c r="B524">
        <v>0</v>
      </c>
      <c r="C524">
        <v>0</v>
      </c>
      <c r="D524">
        <v>0</v>
      </c>
      <c r="E524">
        <v>0</v>
      </c>
      <c r="F524">
        <v>0</v>
      </c>
      <c r="G524">
        <v>0</v>
      </c>
      <c r="H524">
        <v>0</v>
      </c>
      <c r="I524">
        <v>0</v>
      </c>
      <c r="J524">
        <v>0</v>
      </c>
      <c r="K524">
        <v>0</v>
      </c>
      <c r="L524">
        <v>0</v>
      </c>
      <c r="M524">
        <v>0</v>
      </c>
      <c r="N524">
        <v>0</v>
      </c>
      <c r="O524">
        <v>0</v>
      </c>
      <c r="P524">
        <v>0</v>
      </c>
      <c r="Q524">
        <v>0</v>
      </c>
      <c r="R524">
        <v>0</v>
      </c>
      <c r="S524">
        <v>0</v>
      </c>
      <c r="T524">
        <v>0</v>
      </c>
      <c r="U524">
        <v>0</v>
      </c>
      <c r="V524">
        <v>0</v>
      </c>
      <c r="W524">
        <v>0</v>
      </c>
      <c r="X524">
        <v>0</v>
      </c>
      <c r="Y524">
        <v>0</v>
      </c>
      <c r="Z524">
        <v>0</v>
      </c>
      <c r="AA524">
        <v>0</v>
      </c>
      <c r="AB524">
        <v>0</v>
      </c>
      <c r="AC524">
        <v>0</v>
      </c>
      <c r="AD524">
        <v>0</v>
      </c>
      <c r="AE524">
        <v>0</v>
      </c>
      <c r="AF524">
        <v>0</v>
      </c>
      <c r="AG524">
        <v>0</v>
      </c>
      <c r="AH524">
        <v>0</v>
      </c>
      <c r="AI524">
        <v>0</v>
      </c>
      <c r="AJ524">
        <v>0</v>
      </c>
      <c r="AK524">
        <v>0</v>
      </c>
      <c r="AL524">
        <v>0</v>
      </c>
      <c r="AM524">
        <v>0</v>
      </c>
      <c r="AN524">
        <v>0</v>
      </c>
      <c r="AO524">
        <v>0</v>
      </c>
      <c r="AP524">
        <v>0</v>
      </c>
      <c r="AQ524">
        <v>0</v>
      </c>
      <c r="AR524">
        <v>0</v>
      </c>
      <c r="AS524">
        <v>0</v>
      </c>
      <c r="AT524">
        <v>0</v>
      </c>
      <c r="AU524">
        <v>0</v>
      </c>
      <c r="AV524">
        <v>0</v>
      </c>
      <c r="AW524">
        <v>0</v>
      </c>
      <c r="AX524">
        <v>0</v>
      </c>
      <c r="AY524">
        <v>0</v>
      </c>
      <c r="AZ524">
        <v>0</v>
      </c>
      <c r="BA524">
        <v>0</v>
      </c>
      <c r="BB524">
        <v>0</v>
      </c>
      <c r="BC524">
        <v>0</v>
      </c>
      <c r="BD524">
        <v>0</v>
      </c>
      <c r="BE524">
        <v>0</v>
      </c>
      <c r="BF524">
        <v>0</v>
      </c>
      <c r="BG524">
        <v>0</v>
      </c>
      <c r="BH524">
        <v>0</v>
      </c>
      <c r="BI524">
        <v>0</v>
      </c>
      <c r="BJ524">
        <v>0</v>
      </c>
      <c r="BK524">
        <v>0</v>
      </c>
      <c r="BL524">
        <v>0</v>
      </c>
      <c r="BM524">
        <v>0</v>
      </c>
      <c r="BN524">
        <v>0</v>
      </c>
      <c r="BO524">
        <v>0</v>
      </c>
      <c r="BP524">
        <v>0</v>
      </c>
      <c r="BQ524">
        <v>0</v>
      </c>
      <c r="BR524">
        <v>0</v>
      </c>
      <c r="BS524">
        <v>0</v>
      </c>
      <c r="BT524">
        <v>0</v>
      </c>
      <c r="BU524">
        <v>0</v>
      </c>
      <c r="BV524">
        <v>0</v>
      </c>
      <c r="BW524">
        <v>0</v>
      </c>
      <c r="BX524">
        <v>0</v>
      </c>
      <c r="BY524">
        <v>0</v>
      </c>
      <c r="BZ524">
        <v>0</v>
      </c>
      <c r="CA524">
        <v>0</v>
      </c>
      <c r="CB524">
        <v>0</v>
      </c>
    </row>
    <row r="525" spans="1:80" x14ac:dyDescent="0.2">
      <c r="A525">
        <v>0</v>
      </c>
      <c r="B525">
        <v>0</v>
      </c>
      <c r="C525">
        <v>0</v>
      </c>
      <c r="D525">
        <v>0</v>
      </c>
      <c r="E525">
        <v>0</v>
      </c>
      <c r="F525">
        <v>0</v>
      </c>
      <c r="G525">
        <v>0</v>
      </c>
      <c r="H525">
        <v>0</v>
      </c>
      <c r="I525">
        <v>0</v>
      </c>
      <c r="J525">
        <v>0</v>
      </c>
      <c r="K525">
        <v>0</v>
      </c>
      <c r="L525">
        <v>0</v>
      </c>
      <c r="M525">
        <v>0</v>
      </c>
      <c r="N525">
        <v>0</v>
      </c>
      <c r="O525">
        <v>0</v>
      </c>
      <c r="P525">
        <v>0</v>
      </c>
      <c r="Q525">
        <v>0</v>
      </c>
      <c r="R525">
        <v>0</v>
      </c>
      <c r="S525">
        <v>0</v>
      </c>
      <c r="T525">
        <v>0</v>
      </c>
      <c r="U525">
        <v>0</v>
      </c>
      <c r="V525">
        <v>0</v>
      </c>
      <c r="W525">
        <v>0</v>
      </c>
      <c r="X525">
        <v>0</v>
      </c>
      <c r="Y525">
        <v>0</v>
      </c>
      <c r="Z525">
        <v>0</v>
      </c>
      <c r="AA525">
        <v>0</v>
      </c>
      <c r="AB525">
        <v>0</v>
      </c>
      <c r="AC525">
        <v>0</v>
      </c>
      <c r="AD525">
        <v>0</v>
      </c>
      <c r="AE525">
        <v>0</v>
      </c>
      <c r="AF525">
        <v>0</v>
      </c>
      <c r="AG525">
        <v>0</v>
      </c>
      <c r="AH525">
        <v>0</v>
      </c>
      <c r="AI525">
        <v>0</v>
      </c>
      <c r="AJ525">
        <v>0</v>
      </c>
      <c r="AK525">
        <v>0</v>
      </c>
      <c r="AL525">
        <v>0</v>
      </c>
      <c r="AM525">
        <v>0</v>
      </c>
      <c r="AN525">
        <v>0</v>
      </c>
      <c r="AO525">
        <v>0</v>
      </c>
      <c r="AP525">
        <v>0</v>
      </c>
      <c r="AQ525">
        <v>0</v>
      </c>
      <c r="AR525">
        <v>0</v>
      </c>
      <c r="AS525">
        <v>0</v>
      </c>
      <c r="AT525">
        <v>0</v>
      </c>
      <c r="AU525">
        <v>0</v>
      </c>
      <c r="AV525">
        <v>0</v>
      </c>
      <c r="AW525">
        <v>0</v>
      </c>
      <c r="AX525">
        <v>0</v>
      </c>
      <c r="AY525">
        <v>0</v>
      </c>
      <c r="AZ525">
        <v>0</v>
      </c>
      <c r="BA525">
        <v>0</v>
      </c>
      <c r="BB525">
        <v>0</v>
      </c>
      <c r="BC525">
        <v>0</v>
      </c>
      <c r="BD525">
        <v>0</v>
      </c>
      <c r="BE525">
        <v>0</v>
      </c>
      <c r="BF525">
        <v>0</v>
      </c>
      <c r="BG525">
        <v>0</v>
      </c>
      <c r="BH525">
        <v>0</v>
      </c>
      <c r="BI525">
        <v>0</v>
      </c>
      <c r="BJ525">
        <v>0</v>
      </c>
      <c r="BK525">
        <v>0</v>
      </c>
      <c r="BL525">
        <v>0</v>
      </c>
      <c r="BM525">
        <v>0</v>
      </c>
      <c r="BN525">
        <v>0</v>
      </c>
      <c r="BO525">
        <v>0</v>
      </c>
      <c r="BP525">
        <v>0</v>
      </c>
      <c r="BQ525">
        <v>0</v>
      </c>
      <c r="BR525">
        <v>0</v>
      </c>
      <c r="BS525">
        <v>0</v>
      </c>
      <c r="BT525">
        <v>0</v>
      </c>
      <c r="BU525">
        <v>0</v>
      </c>
      <c r="BV525">
        <v>0</v>
      </c>
      <c r="BW525">
        <v>0</v>
      </c>
      <c r="BX525">
        <v>0</v>
      </c>
      <c r="BY525">
        <v>0</v>
      </c>
      <c r="BZ525">
        <v>0</v>
      </c>
      <c r="CA525">
        <v>0</v>
      </c>
      <c r="CB525">
        <v>0</v>
      </c>
    </row>
    <row r="526" spans="1:80" x14ac:dyDescent="0.2">
      <c r="A526">
        <v>0</v>
      </c>
      <c r="B526">
        <v>0</v>
      </c>
      <c r="C526">
        <v>0</v>
      </c>
      <c r="D526">
        <v>0</v>
      </c>
      <c r="E526">
        <v>0</v>
      </c>
      <c r="F526">
        <v>0</v>
      </c>
      <c r="G526">
        <v>0</v>
      </c>
      <c r="H526">
        <v>0</v>
      </c>
      <c r="I526">
        <v>0</v>
      </c>
      <c r="J526">
        <v>0</v>
      </c>
      <c r="K526">
        <v>0</v>
      </c>
      <c r="L526">
        <v>0</v>
      </c>
      <c r="M526">
        <v>0</v>
      </c>
      <c r="N526">
        <v>0</v>
      </c>
      <c r="O526">
        <v>0</v>
      </c>
      <c r="P526">
        <v>0</v>
      </c>
      <c r="Q526">
        <v>0</v>
      </c>
      <c r="R526">
        <v>0</v>
      </c>
      <c r="S526">
        <v>0</v>
      </c>
      <c r="T526">
        <v>0</v>
      </c>
      <c r="U526">
        <v>0</v>
      </c>
      <c r="V526">
        <v>0</v>
      </c>
      <c r="W526">
        <v>0</v>
      </c>
      <c r="X526">
        <v>0</v>
      </c>
      <c r="Y526">
        <v>0</v>
      </c>
      <c r="Z526">
        <v>0</v>
      </c>
      <c r="AA526">
        <v>0</v>
      </c>
      <c r="AB526">
        <v>0</v>
      </c>
      <c r="AC526">
        <v>0</v>
      </c>
      <c r="AD526">
        <v>0</v>
      </c>
      <c r="AE526">
        <v>0</v>
      </c>
      <c r="AF526">
        <v>0</v>
      </c>
      <c r="AG526">
        <v>0</v>
      </c>
      <c r="AH526">
        <v>0</v>
      </c>
      <c r="AI526">
        <v>0</v>
      </c>
      <c r="AJ526">
        <v>0</v>
      </c>
      <c r="AK526">
        <v>0</v>
      </c>
      <c r="AL526">
        <v>0</v>
      </c>
      <c r="AM526">
        <v>0</v>
      </c>
      <c r="AN526">
        <v>0</v>
      </c>
      <c r="AO526">
        <v>0</v>
      </c>
      <c r="AP526">
        <v>0</v>
      </c>
      <c r="AQ526">
        <v>0</v>
      </c>
      <c r="AR526">
        <v>0</v>
      </c>
      <c r="AS526">
        <v>0</v>
      </c>
      <c r="AT526">
        <v>0</v>
      </c>
      <c r="AU526">
        <v>0</v>
      </c>
      <c r="AV526">
        <v>0</v>
      </c>
      <c r="AW526">
        <v>0</v>
      </c>
      <c r="AX526">
        <v>0</v>
      </c>
      <c r="AY526">
        <v>0</v>
      </c>
      <c r="AZ526">
        <v>0</v>
      </c>
      <c r="BA526">
        <v>0</v>
      </c>
      <c r="BB526">
        <v>0</v>
      </c>
      <c r="BC526">
        <v>0</v>
      </c>
      <c r="BD526">
        <v>0</v>
      </c>
      <c r="BE526">
        <v>0</v>
      </c>
      <c r="BF526">
        <v>0</v>
      </c>
      <c r="BG526">
        <v>0</v>
      </c>
      <c r="BH526">
        <v>0</v>
      </c>
      <c r="BI526">
        <v>0</v>
      </c>
      <c r="BJ526">
        <v>0</v>
      </c>
      <c r="BK526">
        <v>0</v>
      </c>
      <c r="BL526">
        <v>0</v>
      </c>
      <c r="BM526">
        <v>0</v>
      </c>
      <c r="BN526">
        <v>0</v>
      </c>
      <c r="BO526">
        <v>0</v>
      </c>
      <c r="BP526">
        <v>0</v>
      </c>
      <c r="BQ526">
        <v>0</v>
      </c>
      <c r="BR526">
        <v>0</v>
      </c>
      <c r="BS526">
        <v>0</v>
      </c>
      <c r="BT526">
        <v>0</v>
      </c>
      <c r="BU526">
        <v>0</v>
      </c>
      <c r="BV526">
        <v>0</v>
      </c>
      <c r="BW526">
        <v>0</v>
      </c>
      <c r="BX526">
        <v>0</v>
      </c>
      <c r="BY526">
        <v>0</v>
      </c>
      <c r="BZ526">
        <v>0</v>
      </c>
      <c r="CA526">
        <v>0</v>
      </c>
      <c r="CB526">
        <v>0</v>
      </c>
    </row>
    <row r="527" spans="1:80" x14ac:dyDescent="0.2">
      <c r="A527">
        <v>0</v>
      </c>
      <c r="B527">
        <v>0</v>
      </c>
      <c r="C527">
        <v>0</v>
      </c>
      <c r="D527">
        <v>0</v>
      </c>
      <c r="E527">
        <v>0</v>
      </c>
      <c r="F527">
        <v>0</v>
      </c>
      <c r="G527">
        <v>0</v>
      </c>
      <c r="H527">
        <v>0</v>
      </c>
      <c r="I527">
        <v>0</v>
      </c>
      <c r="J527">
        <v>0</v>
      </c>
      <c r="K527">
        <v>0</v>
      </c>
      <c r="L527">
        <v>0</v>
      </c>
      <c r="M527">
        <v>0</v>
      </c>
      <c r="N527">
        <v>0</v>
      </c>
      <c r="O527">
        <v>0</v>
      </c>
      <c r="P527">
        <v>0</v>
      </c>
      <c r="Q527">
        <v>0</v>
      </c>
      <c r="R527">
        <v>0</v>
      </c>
      <c r="S527">
        <v>0</v>
      </c>
      <c r="T527">
        <v>0</v>
      </c>
      <c r="U527">
        <v>0</v>
      </c>
      <c r="V527">
        <v>0</v>
      </c>
      <c r="W527">
        <v>0</v>
      </c>
      <c r="X527">
        <v>0</v>
      </c>
      <c r="Y527">
        <v>0</v>
      </c>
      <c r="Z527">
        <v>0</v>
      </c>
      <c r="AA527">
        <v>0</v>
      </c>
      <c r="AB527">
        <v>0</v>
      </c>
      <c r="AC527">
        <v>0</v>
      </c>
      <c r="AD527">
        <v>0</v>
      </c>
      <c r="AE527">
        <v>0</v>
      </c>
      <c r="AF527">
        <v>0</v>
      </c>
      <c r="AG527">
        <v>0</v>
      </c>
      <c r="AH527">
        <v>0</v>
      </c>
      <c r="AI527">
        <v>0</v>
      </c>
      <c r="AJ527">
        <v>0</v>
      </c>
      <c r="AK527">
        <v>0</v>
      </c>
      <c r="AL527">
        <v>0</v>
      </c>
      <c r="AM527">
        <v>0</v>
      </c>
      <c r="AN527">
        <v>0</v>
      </c>
      <c r="AO527">
        <v>0</v>
      </c>
      <c r="AP527">
        <v>0</v>
      </c>
      <c r="AQ527">
        <v>0</v>
      </c>
      <c r="AR527">
        <v>0</v>
      </c>
      <c r="AS527">
        <v>0</v>
      </c>
      <c r="AT527">
        <v>0</v>
      </c>
      <c r="AU527">
        <v>0</v>
      </c>
      <c r="AV527">
        <v>0</v>
      </c>
      <c r="AW527">
        <v>0</v>
      </c>
      <c r="AX527">
        <v>0</v>
      </c>
      <c r="AY527">
        <v>0</v>
      </c>
      <c r="AZ527">
        <v>0</v>
      </c>
      <c r="BA527">
        <v>0</v>
      </c>
      <c r="BB527">
        <v>0</v>
      </c>
      <c r="BC527">
        <v>0</v>
      </c>
      <c r="BD527">
        <v>0</v>
      </c>
      <c r="BE527">
        <v>0</v>
      </c>
      <c r="BF527">
        <v>0</v>
      </c>
      <c r="BG527">
        <v>0</v>
      </c>
      <c r="BH527">
        <v>0</v>
      </c>
      <c r="BI527">
        <v>0</v>
      </c>
      <c r="BJ527">
        <v>0</v>
      </c>
      <c r="BK527">
        <v>0</v>
      </c>
      <c r="BL527">
        <v>0</v>
      </c>
      <c r="BM527">
        <v>0</v>
      </c>
      <c r="BN527">
        <v>0</v>
      </c>
      <c r="BO527">
        <v>0</v>
      </c>
      <c r="BP527">
        <v>0</v>
      </c>
      <c r="BQ527">
        <v>0</v>
      </c>
      <c r="BR527">
        <v>0</v>
      </c>
      <c r="BS527">
        <v>0</v>
      </c>
      <c r="BT527">
        <v>0</v>
      </c>
      <c r="BU527">
        <v>0</v>
      </c>
      <c r="BV527">
        <v>0</v>
      </c>
      <c r="BW527">
        <v>0</v>
      </c>
      <c r="BX527">
        <v>0</v>
      </c>
      <c r="BY527">
        <v>0</v>
      </c>
      <c r="BZ527">
        <v>0</v>
      </c>
      <c r="CA527">
        <v>0</v>
      </c>
      <c r="CB527">
        <v>0</v>
      </c>
    </row>
    <row r="528" spans="1:80" x14ac:dyDescent="0.2">
      <c r="A528">
        <v>0</v>
      </c>
      <c r="B528">
        <v>0</v>
      </c>
      <c r="C528">
        <v>0</v>
      </c>
      <c r="D528">
        <v>0</v>
      </c>
      <c r="E528">
        <v>0</v>
      </c>
      <c r="F528">
        <v>0</v>
      </c>
      <c r="G528">
        <v>0</v>
      </c>
      <c r="H528">
        <v>0</v>
      </c>
      <c r="I528">
        <v>0</v>
      </c>
      <c r="J528">
        <v>0</v>
      </c>
      <c r="K528">
        <v>0</v>
      </c>
      <c r="L528">
        <v>0</v>
      </c>
      <c r="M528">
        <v>0</v>
      </c>
      <c r="N528">
        <v>0</v>
      </c>
      <c r="O528">
        <v>0</v>
      </c>
      <c r="P528">
        <v>0</v>
      </c>
      <c r="Q528">
        <v>0</v>
      </c>
      <c r="R528">
        <v>0</v>
      </c>
      <c r="S528">
        <v>0</v>
      </c>
      <c r="T528">
        <v>0</v>
      </c>
      <c r="U528">
        <v>0</v>
      </c>
      <c r="V528">
        <v>0</v>
      </c>
      <c r="W528">
        <v>0</v>
      </c>
      <c r="X528">
        <v>0</v>
      </c>
      <c r="Y528">
        <v>0</v>
      </c>
      <c r="Z528">
        <v>0</v>
      </c>
      <c r="AA528">
        <v>0</v>
      </c>
      <c r="AB528">
        <v>0</v>
      </c>
      <c r="AC528">
        <v>0</v>
      </c>
      <c r="AD528">
        <v>0</v>
      </c>
      <c r="AE528">
        <v>0</v>
      </c>
      <c r="AF528">
        <v>0</v>
      </c>
      <c r="AG528">
        <v>0</v>
      </c>
      <c r="AH528">
        <v>0</v>
      </c>
      <c r="AI528">
        <v>0</v>
      </c>
      <c r="AJ528">
        <v>0</v>
      </c>
      <c r="AK528">
        <v>0</v>
      </c>
      <c r="AL528">
        <v>0</v>
      </c>
      <c r="AM528">
        <v>0</v>
      </c>
      <c r="AN528">
        <v>0</v>
      </c>
      <c r="AO528">
        <v>0</v>
      </c>
      <c r="AP528">
        <v>0</v>
      </c>
      <c r="AQ528">
        <v>0</v>
      </c>
      <c r="AR528">
        <v>0</v>
      </c>
      <c r="AS528">
        <v>0</v>
      </c>
      <c r="AT528">
        <v>0</v>
      </c>
      <c r="AU528">
        <v>0</v>
      </c>
      <c r="AV528">
        <v>0</v>
      </c>
      <c r="AW528">
        <v>0</v>
      </c>
      <c r="AX528">
        <v>0</v>
      </c>
      <c r="AY528">
        <v>0</v>
      </c>
      <c r="AZ528">
        <v>0</v>
      </c>
      <c r="BA528">
        <v>0</v>
      </c>
      <c r="BB528">
        <v>0</v>
      </c>
      <c r="BC528">
        <v>0</v>
      </c>
      <c r="BD528">
        <v>0</v>
      </c>
      <c r="BE528">
        <v>0</v>
      </c>
      <c r="BF528">
        <v>0</v>
      </c>
      <c r="BG528">
        <v>0</v>
      </c>
      <c r="BH528">
        <v>0</v>
      </c>
      <c r="BI528">
        <v>0</v>
      </c>
      <c r="BJ528">
        <v>0</v>
      </c>
      <c r="BK528">
        <v>0</v>
      </c>
      <c r="BL528">
        <v>0</v>
      </c>
      <c r="BM528">
        <v>0</v>
      </c>
      <c r="BN528">
        <v>0</v>
      </c>
      <c r="BO528">
        <v>0</v>
      </c>
      <c r="BP528">
        <v>0</v>
      </c>
      <c r="BQ528">
        <v>0</v>
      </c>
      <c r="BR528">
        <v>0</v>
      </c>
      <c r="BS528">
        <v>0</v>
      </c>
      <c r="BT528">
        <v>0</v>
      </c>
      <c r="BU528">
        <v>0</v>
      </c>
      <c r="BV528">
        <v>0</v>
      </c>
      <c r="BW528">
        <v>0</v>
      </c>
      <c r="BX528">
        <v>0</v>
      </c>
      <c r="BY528">
        <v>0</v>
      </c>
      <c r="BZ528">
        <v>0</v>
      </c>
      <c r="CA528">
        <v>0</v>
      </c>
      <c r="CB528">
        <v>0</v>
      </c>
    </row>
    <row r="529" spans="1:80" x14ac:dyDescent="0.2">
      <c r="A529">
        <v>0</v>
      </c>
      <c r="B529">
        <v>0</v>
      </c>
      <c r="C529">
        <v>0</v>
      </c>
      <c r="D529">
        <v>0</v>
      </c>
      <c r="E529">
        <v>0</v>
      </c>
      <c r="F529">
        <v>0</v>
      </c>
      <c r="G529">
        <v>0</v>
      </c>
      <c r="H529">
        <v>0</v>
      </c>
      <c r="I529">
        <v>0</v>
      </c>
      <c r="J529">
        <v>0</v>
      </c>
      <c r="K529">
        <v>0</v>
      </c>
      <c r="L529">
        <v>0</v>
      </c>
      <c r="M529">
        <v>0</v>
      </c>
      <c r="N529">
        <v>0</v>
      </c>
      <c r="O529">
        <v>0</v>
      </c>
      <c r="P529">
        <v>0</v>
      </c>
      <c r="Q529">
        <v>0</v>
      </c>
      <c r="R529">
        <v>0</v>
      </c>
      <c r="S529">
        <v>0</v>
      </c>
      <c r="T529">
        <v>0</v>
      </c>
      <c r="U529">
        <v>0</v>
      </c>
      <c r="V529">
        <v>0</v>
      </c>
      <c r="W529">
        <v>0</v>
      </c>
      <c r="X529">
        <v>0</v>
      </c>
      <c r="Y529">
        <v>0</v>
      </c>
      <c r="Z529">
        <v>0</v>
      </c>
      <c r="AA529">
        <v>0</v>
      </c>
      <c r="AB529">
        <v>0</v>
      </c>
      <c r="AC529">
        <v>0</v>
      </c>
      <c r="AD529">
        <v>0</v>
      </c>
      <c r="AE529">
        <v>0</v>
      </c>
      <c r="AF529">
        <v>0</v>
      </c>
      <c r="AG529">
        <v>0</v>
      </c>
      <c r="AH529">
        <v>0</v>
      </c>
      <c r="AI529">
        <v>0</v>
      </c>
      <c r="AJ529">
        <v>0</v>
      </c>
      <c r="AK529">
        <v>0</v>
      </c>
      <c r="AL529">
        <v>0</v>
      </c>
      <c r="AM529">
        <v>0</v>
      </c>
      <c r="AN529">
        <v>0</v>
      </c>
      <c r="AO529">
        <v>0</v>
      </c>
      <c r="AP529">
        <v>0</v>
      </c>
      <c r="AQ529">
        <v>0</v>
      </c>
      <c r="AR529">
        <v>0</v>
      </c>
      <c r="AS529">
        <v>0</v>
      </c>
      <c r="AT529">
        <v>0</v>
      </c>
      <c r="AU529">
        <v>0</v>
      </c>
      <c r="AV529">
        <v>0</v>
      </c>
      <c r="AW529">
        <v>0</v>
      </c>
      <c r="AX529">
        <v>0</v>
      </c>
      <c r="AY529">
        <v>0</v>
      </c>
      <c r="AZ529">
        <v>0</v>
      </c>
      <c r="BA529">
        <v>0</v>
      </c>
      <c r="BB529">
        <v>0</v>
      </c>
      <c r="BC529">
        <v>0</v>
      </c>
      <c r="BD529">
        <v>0</v>
      </c>
      <c r="BE529">
        <v>0</v>
      </c>
      <c r="BF529">
        <v>0</v>
      </c>
      <c r="BG529">
        <v>0</v>
      </c>
      <c r="BH529">
        <v>0</v>
      </c>
      <c r="BI529">
        <v>0</v>
      </c>
      <c r="BJ529">
        <v>0</v>
      </c>
      <c r="BK529">
        <v>0</v>
      </c>
      <c r="BL529">
        <v>0</v>
      </c>
      <c r="BM529">
        <v>0</v>
      </c>
      <c r="BN529">
        <v>0</v>
      </c>
      <c r="BO529">
        <v>0</v>
      </c>
      <c r="BP529">
        <v>0</v>
      </c>
      <c r="BQ529">
        <v>0</v>
      </c>
      <c r="BR529">
        <v>0</v>
      </c>
      <c r="BS529">
        <v>0</v>
      </c>
      <c r="BT529">
        <v>0</v>
      </c>
      <c r="BU529">
        <v>0</v>
      </c>
      <c r="BV529">
        <v>0</v>
      </c>
      <c r="BW529">
        <v>0</v>
      </c>
      <c r="BX529">
        <v>0</v>
      </c>
      <c r="BY529">
        <v>0</v>
      </c>
      <c r="BZ529">
        <v>0</v>
      </c>
      <c r="CA529">
        <v>0</v>
      </c>
      <c r="CB529">
        <v>0</v>
      </c>
    </row>
    <row r="530" spans="1:80" x14ac:dyDescent="0.2">
      <c r="A530">
        <v>0</v>
      </c>
      <c r="B530">
        <v>0</v>
      </c>
      <c r="C530">
        <v>0</v>
      </c>
      <c r="D530">
        <v>0</v>
      </c>
      <c r="E530">
        <v>0</v>
      </c>
      <c r="F530">
        <v>0</v>
      </c>
      <c r="G530">
        <v>0</v>
      </c>
      <c r="H530">
        <v>0</v>
      </c>
      <c r="I530">
        <v>0</v>
      </c>
      <c r="J530">
        <v>0</v>
      </c>
      <c r="K530">
        <v>0</v>
      </c>
      <c r="L530">
        <v>0</v>
      </c>
      <c r="M530">
        <v>0</v>
      </c>
      <c r="N530">
        <v>0</v>
      </c>
      <c r="O530">
        <v>0</v>
      </c>
      <c r="P530">
        <v>0</v>
      </c>
      <c r="Q530">
        <v>0</v>
      </c>
      <c r="R530">
        <v>0</v>
      </c>
      <c r="S530">
        <v>0</v>
      </c>
      <c r="T530">
        <v>0</v>
      </c>
      <c r="U530">
        <v>0</v>
      </c>
      <c r="V530">
        <v>0</v>
      </c>
      <c r="W530">
        <v>0</v>
      </c>
      <c r="X530">
        <v>0</v>
      </c>
      <c r="Y530">
        <v>0</v>
      </c>
      <c r="Z530">
        <v>0</v>
      </c>
      <c r="AA530">
        <v>0</v>
      </c>
      <c r="AB530">
        <v>0</v>
      </c>
      <c r="AC530">
        <v>0</v>
      </c>
      <c r="AD530">
        <v>0</v>
      </c>
      <c r="AE530">
        <v>0</v>
      </c>
      <c r="AF530">
        <v>0</v>
      </c>
      <c r="AG530">
        <v>0</v>
      </c>
      <c r="AH530">
        <v>0</v>
      </c>
      <c r="AI530">
        <v>0</v>
      </c>
      <c r="AJ530">
        <v>0</v>
      </c>
      <c r="AK530">
        <v>0</v>
      </c>
      <c r="AL530">
        <v>0</v>
      </c>
      <c r="AM530">
        <v>0</v>
      </c>
      <c r="AN530">
        <v>0</v>
      </c>
      <c r="AO530">
        <v>0</v>
      </c>
      <c r="AP530">
        <v>0</v>
      </c>
      <c r="AQ530">
        <v>0</v>
      </c>
      <c r="AR530">
        <v>0</v>
      </c>
      <c r="AS530">
        <v>0</v>
      </c>
      <c r="AT530">
        <v>0</v>
      </c>
      <c r="AU530">
        <v>0</v>
      </c>
      <c r="AV530">
        <v>0</v>
      </c>
      <c r="AW530">
        <v>0</v>
      </c>
      <c r="AX530">
        <v>0</v>
      </c>
      <c r="AY530">
        <v>0</v>
      </c>
      <c r="AZ530">
        <v>0</v>
      </c>
      <c r="BA530">
        <v>0</v>
      </c>
      <c r="BB530">
        <v>0</v>
      </c>
      <c r="BC530">
        <v>0</v>
      </c>
      <c r="BD530">
        <v>0</v>
      </c>
      <c r="BE530">
        <v>0</v>
      </c>
      <c r="BF530">
        <v>0</v>
      </c>
      <c r="BG530">
        <v>0</v>
      </c>
      <c r="BH530">
        <v>0</v>
      </c>
      <c r="BI530">
        <v>0</v>
      </c>
      <c r="BJ530">
        <v>0</v>
      </c>
      <c r="BK530">
        <v>0</v>
      </c>
      <c r="BL530">
        <v>0</v>
      </c>
      <c r="BM530">
        <v>0</v>
      </c>
      <c r="BN530">
        <v>0</v>
      </c>
      <c r="BO530">
        <v>0</v>
      </c>
      <c r="BP530">
        <v>0</v>
      </c>
      <c r="BQ530">
        <v>0</v>
      </c>
      <c r="BR530">
        <v>0</v>
      </c>
      <c r="BS530">
        <v>0</v>
      </c>
      <c r="BT530">
        <v>0</v>
      </c>
      <c r="BU530">
        <v>0</v>
      </c>
      <c r="BV530">
        <v>0</v>
      </c>
      <c r="BW530">
        <v>0</v>
      </c>
      <c r="BX530">
        <v>0</v>
      </c>
      <c r="BY530">
        <v>0</v>
      </c>
      <c r="BZ530">
        <v>0</v>
      </c>
      <c r="CA530">
        <v>0</v>
      </c>
      <c r="CB530">
        <v>0</v>
      </c>
    </row>
    <row r="531" spans="1:80" x14ac:dyDescent="0.2">
      <c r="A531">
        <v>0</v>
      </c>
      <c r="B531">
        <v>0</v>
      </c>
      <c r="C531">
        <v>0</v>
      </c>
      <c r="D531">
        <v>0</v>
      </c>
      <c r="E531">
        <v>0</v>
      </c>
      <c r="F531">
        <v>0</v>
      </c>
      <c r="G531">
        <v>0</v>
      </c>
      <c r="H531">
        <v>0</v>
      </c>
      <c r="I531">
        <v>0</v>
      </c>
      <c r="J531">
        <v>0</v>
      </c>
      <c r="K531">
        <v>0</v>
      </c>
      <c r="L531">
        <v>0</v>
      </c>
      <c r="M531">
        <v>0</v>
      </c>
      <c r="N531">
        <v>0</v>
      </c>
      <c r="O531">
        <v>0</v>
      </c>
      <c r="P531">
        <v>0</v>
      </c>
      <c r="Q531">
        <v>0</v>
      </c>
      <c r="R531">
        <v>0</v>
      </c>
      <c r="S531">
        <v>0</v>
      </c>
      <c r="T531">
        <v>0</v>
      </c>
      <c r="U531">
        <v>0</v>
      </c>
      <c r="V531">
        <v>0</v>
      </c>
      <c r="W531">
        <v>0</v>
      </c>
      <c r="X531">
        <v>0</v>
      </c>
      <c r="Y531">
        <v>0</v>
      </c>
      <c r="Z531">
        <v>0</v>
      </c>
      <c r="AA531">
        <v>0</v>
      </c>
      <c r="AB531">
        <v>0</v>
      </c>
      <c r="AC531">
        <v>0</v>
      </c>
      <c r="AD531">
        <v>0</v>
      </c>
      <c r="AE531">
        <v>0</v>
      </c>
      <c r="AF531">
        <v>0</v>
      </c>
      <c r="AG531">
        <v>0</v>
      </c>
      <c r="AH531">
        <v>0</v>
      </c>
      <c r="AI531">
        <v>0</v>
      </c>
      <c r="AJ531">
        <v>0</v>
      </c>
      <c r="AK531">
        <v>0</v>
      </c>
      <c r="AL531">
        <v>0</v>
      </c>
      <c r="AM531">
        <v>0</v>
      </c>
      <c r="AN531">
        <v>0</v>
      </c>
      <c r="AO531">
        <v>0</v>
      </c>
      <c r="AP531">
        <v>0</v>
      </c>
      <c r="AQ531">
        <v>0</v>
      </c>
      <c r="AR531">
        <v>0</v>
      </c>
      <c r="AS531">
        <v>0</v>
      </c>
      <c r="AT531">
        <v>0</v>
      </c>
      <c r="AU531">
        <v>0</v>
      </c>
      <c r="AV531">
        <v>0</v>
      </c>
      <c r="AW531">
        <v>0</v>
      </c>
      <c r="AX531">
        <v>0</v>
      </c>
      <c r="AY531">
        <v>0</v>
      </c>
      <c r="AZ531">
        <v>0</v>
      </c>
      <c r="BA531">
        <v>0</v>
      </c>
      <c r="BB531">
        <v>0</v>
      </c>
      <c r="BC531">
        <v>0</v>
      </c>
      <c r="BD531">
        <v>0</v>
      </c>
      <c r="BE531">
        <v>0</v>
      </c>
      <c r="BF531">
        <v>0</v>
      </c>
      <c r="BG531">
        <v>0</v>
      </c>
      <c r="BH531">
        <v>0</v>
      </c>
      <c r="BI531">
        <v>0</v>
      </c>
      <c r="BJ531">
        <v>0</v>
      </c>
      <c r="BK531">
        <v>0</v>
      </c>
      <c r="BL531">
        <v>0</v>
      </c>
      <c r="BM531">
        <v>0</v>
      </c>
      <c r="BN531">
        <v>0</v>
      </c>
      <c r="BO531">
        <v>0</v>
      </c>
      <c r="BP531">
        <v>0</v>
      </c>
      <c r="BQ531">
        <v>0</v>
      </c>
      <c r="BR531">
        <v>0</v>
      </c>
      <c r="BS531">
        <v>0</v>
      </c>
      <c r="BT531">
        <v>0</v>
      </c>
      <c r="BU531">
        <v>0</v>
      </c>
      <c r="BV531">
        <v>0</v>
      </c>
      <c r="BW531">
        <v>0</v>
      </c>
      <c r="BX531">
        <v>0</v>
      </c>
      <c r="BY531">
        <v>0</v>
      </c>
      <c r="BZ531">
        <v>0</v>
      </c>
      <c r="CA531">
        <v>0</v>
      </c>
      <c r="CB531">
        <v>0</v>
      </c>
    </row>
    <row r="532" spans="1:80" x14ac:dyDescent="0.2">
      <c r="A532">
        <v>0</v>
      </c>
      <c r="B532">
        <v>0</v>
      </c>
      <c r="C532">
        <v>0</v>
      </c>
      <c r="D532">
        <v>0</v>
      </c>
      <c r="E532">
        <v>0</v>
      </c>
      <c r="F532">
        <v>0</v>
      </c>
      <c r="G532">
        <v>0</v>
      </c>
      <c r="H532">
        <v>0</v>
      </c>
      <c r="I532">
        <v>0</v>
      </c>
      <c r="J532">
        <v>0</v>
      </c>
      <c r="K532">
        <v>0</v>
      </c>
      <c r="L532">
        <v>0</v>
      </c>
      <c r="M532">
        <v>0</v>
      </c>
      <c r="N532">
        <v>0</v>
      </c>
      <c r="O532">
        <v>0</v>
      </c>
      <c r="P532">
        <v>0</v>
      </c>
      <c r="Q532">
        <v>0</v>
      </c>
      <c r="R532">
        <v>0</v>
      </c>
      <c r="S532">
        <v>0</v>
      </c>
      <c r="T532">
        <v>0</v>
      </c>
      <c r="U532">
        <v>0</v>
      </c>
      <c r="V532">
        <v>0</v>
      </c>
      <c r="W532">
        <v>0</v>
      </c>
      <c r="X532">
        <v>0</v>
      </c>
      <c r="Y532">
        <v>0</v>
      </c>
      <c r="Z532">
        <v>0</v>
      </c>
      <c r="AA532">
        <v>0</v>
      </c>
      <c r="AB532">
        <v>0</v>
      </c>
      <c r="AC532">
        <v>0</v>
      </c>
      <c r="AD532">
        <v>0</v>
      </c>
      <c r="AE532">
        <v>0</v>
      </c>
      <c r="AF532">
        <v>0</v>
      </c>
      <c r="AG532">
        <v>0</v>
      </c>
      <c r="AH532">
        <v>0</v>
      </c>
      <c r="AI532">
        <v>0</v>
      </c>
      <c r="AJ532">
        <v>0</v>
      </c>
      <c r="AK532">
        <v>0</v>
      </c>
      <c r="AL532">
        <v>0</v>
      </c>
      <c r="AM532">
        <v>0</v>
      </c>
      <c r="AN532">
        <v>0</v>
      </c>
      <c r="AO532">
        <v>0</v>
      </c>
      <c r="AP532">
        <v>0</v>
      </c>
      <c r="AQ532">
        <v>0</v>
      </c>
      <c r="AR532">
        <v>0</v>
      </c>
      <c r="AS532">
        <v>0</v>
      </c>
      <c r="AT532">
        <v>0</v>
      </c>
      <c r="AU532">
        <v>0</v>
      </c>
      <c r="AV532">
        <v>0</v>
      </c>
      <c r="AW532">
        <v>0</v>
      </c>
      <c r="AX532">
        <v>0</v>
      </c>
      <c r="AY532">
        <v>0</v>
      </c>
      <c r="AZ532">
        <v>0</v>
      </c>
      <c r="BA532">
        <v>0</v>
      </c>
      <c r="BB532">
        <v>0</v>
      </c>
      <c r="BC532">
        <v>0</v>
      </c>
      <c r="BD532">
        <v>0</v>
      </c>
      <c r="BE532">
        <v>0</v>
      </c>
      <c r="BF532">
        <v>0</v>
      </c>
      <c r="BG532">
        <v>0</v>
      </c>
      <c r="BH532">
        <v>0</v>
      </c>
      <c r="BI532">
        <v>0</v>
      </c>
      <c r="BJ532">
        <v>0</v>
      </c>
      <c r="BK532">
        <v>0</v>
      </c>
      <c r="BL532">
        <v>0</v>
      </c>
      <c r="BM532">
        <v>0</v>
      </c>
      <c r="BN532">
        <v>0</v>
      </c>
      <c r="BO532">
        <v>0</v>
      </c>
      <c r="BP532">
        <v>0</v>
      </c>
      <c r="BQ532">
        <v>0</v>
      </c>
      <c r="BR532">
        <v>0</v>
      </c>
      <c r="BS532">
        <v>0</v>
      </c>
      <c r="BT532">
        <v>0</v>
      </c>
      <c r="BU532">
        <v>0</v>
      </c>
      <c r="BV532">
        <v>0</v>
      </c>
      <c r="BW532">
        <v>0</v>
      </c>
      <c r="BX532">
        <v>0</v>
      </c>
      <c r="BY532">
        <v>0</v>
      </c>
      <c r="BZ532">
        <v>0</v>
      </c>
      <c r="CA532">
        <v>0</v>
      </c>
      <c r="CB532">
        <v>0</v>
      </c>
    </row>
    <row r="533" spans="1:80" x14ac:dyDescent="0.2">
      <c r="A533">
        <v>0</v>
      </c>
      <c r="B533">
        <v>0</v>
      </c>
      <c r="C533">
        <v>0</v>
      </c>
      <c r="D533">
        <v>0</v>
      </c>
      <c r="E533">
        <v>0</v>
      </c>
      <c r="F533">
        <v>0</v>
      </c>
      <c r="G533">
        <v>0</v>
      </c>
      <c r="H533">
        <v>0</v>
      </c>
      <c r="I533">
        <v>0</v>
      </c>
      <c r="J533">
        <v>0</v>
      </c>
      <c r="K533">
        <v>0</v>
      </c>
      <c r="L533">
        <v>0</v>
      </c>
      <c r="M533">
        <v>0</v>
      </c>
      <c r="N533">
        <v>0</v>
      </c>
      <c r="O533">
        <v>0</v>
      </c>
      <c r="P533">
        <v>0</v>
      </c>
      <c r="Q533">
        <v>0</v>
      </c>
      <c r="R533">
        <v>0</v>
      </c>
      <c r="S533">
        <v>0</v>
      </c>
      <c r="T533">
        <v>0</v>
      </c>
      <c r="U533">
        <v>0</v>
      </c>
      <c r="V533">
        <v>0</v>
      </c>
      <c r="W533">
        <v>0</v>
      </c>
      <c r="X533">
        <v>0</v>
      </c>
      <c r="Y533">
        <v>0</v>
      </c>
      <c r="Z533">
        <v>0</v>
      </c>
      <c r="AA533">
        <v>0</v>
      </c>
      <c r="AB533">
        <v>0</v>
      </c>
      <c r="AC533">
        <v>0</v>
      </c>
      <c r="AD533">
        <v>0</v>
      </c>
      <c r="AE533">
        <v>0</v>
      </c>
      <c r="AF533">
        <v>0</v>
      </c>
      <c r="AG533">
        <v>0</v>
      </c>
      <c r="AH533">
        <v>0</v>
      </c>
      <c r="AI533">
        <v>0</v>
      </c>
      <c r="AJ533">
        <v>0</v>
      </c>
      <c r="AK533">
        <v>0</v>
      </c>
      <c r="AL533">
        <v>0</v>
      </c>
      <c r="AM533">
        <v>0</v>
      </c>
      <c r="AN533">
        <v>0</v>
      </c>
      <c r="AO533">
        <v>0</v>
      </c>
      <c r="AP533">
        <v>0</v>
      </c>
      <c r="AQ533">
        <v>0</v>
      </c>
      <c r="AR533">
        <v>0</v>
      </c>
      <c r="AS533">
        <v>0</v>
      </c>
      <c r="AT533">
        <v>0</v>
      </c>
      <c r="AU533">
        <v>0</v>
      </c>
      <c r="AV533">
        <v>0</v>
      </c>
      <c r="AW533">
        <v>0</v>
      </c>
      <c r="AX533">
        <v>0</v>
      </c>
      <c r="AY533">
        <v>0</v>
      </c>
      <c r="AZ533">
        <v>0</v>
      </c>
      <c r="BA533">
        <v>0</v>
      </c>
      <c r="BB533">
        <v>0</v>
      </c>
      <c r="BC533">
        <v>0</v>
      </c>
      <c r="BD533">
        <v>0</v>
      </c>
      <c r="BE533">
        <v>0</v>
      </c>
      <c r="BF533">
        <v>0</v>
      </c>
      <c r="BG533">
        <v>0</v>
      </c>
      <c r="BH533">
        <v>0</v>
      </c>
      <c r="BI533">
        <v>0</v>
      </c>
      <c r="BJ533">
        <v>0</v>
      </c>
      <c r="BK533">
        <v>0</v>
      </c>
      <c r="BL533">
        <v>0</v>
      </c>
      <c r="BM533">
        <v>0</v>
      </c>
      <c r="BN533">
        <v>0</v>
      </c>
      <c r="BO533">
        <v>0</v>
      </c>
      <c r="BP533">
        <v>0</v>
      </c>
      <c r="BQ533">
        <v>0</v>
      </c>
      <c r="BR533">
        <v>0</v>
      </c>
      <c r="BS533">
        <v>0</v>
      </c>
      <c r="BT533">
        <v>0</v>
      </c>
      <c r="BU533">
        <v>0</v>
      </c>
      <c r="BV533">
        <v>0</v>
      </c>
      <c r="BW533">
        <v>0</v>
      </c>
      <c r="BX533">
        <v>0</v>
      </c>
      <c r="BY533">
        <v>0</v>
      </c>
      <c r="BZ533">
        <v>0</v>
      </c>
      <c r="CA533">
        <v>0</v>
      </c>
      <c r="CB533">
        <v>0</v>
      </c>
    </row>
    <row r="534" spans="1:80" x14ac:dyDescent="0.2">
      <c r="A534">
        <v>0</v>
      </c>
      <c r="B534">
        <v>0</v>
      </c>
      <c r="C534">
        <v>0</v>
      </c>
      <c r="D534">
        <v>0</v>
      </c>
      <c r="E534">
        <v>0</v>
      </c>
      <c r="F534">
        <v>0</v>
      </c>
      <c r="G534">
        <v>0</v>
      </c>
      <c r="H534">
        <v>0</v>
      </c>
      <c r="I534">
        <v>0</v>
      </c>
      <c r="J534">
        <v>0</v>
      </c>
      <c r="K534">
        <v>0</v>
      </c>
      <c r="L534">
        <v>0</v>
      </c>
      <c r="M534">
        <v>0</v>
      </c>
      <c r="N534">
        <v>0</v>
      </c>
      <c r="O534">
        <v>0</v>
      </c>
      <c r="P534">
        <v>0</v>
      </c>
      <c r="Q534">
        <v>0</v>
      </c>
      <c r="R534">
        <v>0</v>
      </c>
      <c r="S534">
        <v>0</v>
      </c>
      <c r="T534">
        <v>0</v>
      </c>
      <c r="U534">
        <v>0</v>
      </c>
      <c r="V534">
        <v>0</v>
      </c>
      <c r="W534">
        <v>0</v>
      </c>
      <c r="X534">
        <v>0</v>
      </c>
      <c r="Y534">
        <v>0</v>
      </c>
      <c r="Z534">
        <v>0</v>
      </c>
      <c r="AA534">
        <v>0</v>
      </c>
      <c r="AB534">
        <v>0</v>
      </c>
      <c r="AC534">
        <v>0</v>
      </c>
      <c r="AD534">
        <v>0</v>
      </c>
      <c r="AE534">
        <v>0</v>
      </c>
      <c r="AF534">
        <v>0</v>
      </c>
      <c r="AG534">
        <v>0</v>
      </c>
      <c r="AH534">
        <v>0</v>
      </c>
      <c r="AI534">
        <v>0</v>
      </c>
      <c r="AJ534">
        <v>0</v>
      </c>
      <c r="AK534">
        <v>0</v>
      </c>
      <c r="AL534">
        <v>0</v>
      </c>
      <c r="AM534">
        <v>0</v>
      </c>
      <c r="AN534">
        <v>0</v>
      </c>
      <c r="AO534">
        <v>0</v>
      </c>
      <c r="AP534">
        <v>0</v>
      </c>
      <c r="AQ534">
        <v>0</v>
      </c>
      <c r="AR534">
        <v>0</v>
      </c>
      <c r="AS534">
        <v>0</v>
      </c>
      <c r="AT534">
        <v>0</v>
      </c>
      <c r="AU534">
        <v>0</v>
      </c>
      <c r="AV534">
        <v>0</v>
      </c>
      <c r="AW534">
        <v>0</v>
      </c>
      <c r="AX534">
        <v>0</v>
      </c>
      <c r="AY534">
        <v>0</v>
      </c>
      <c r="AZ534">
        <v>0</v>
      </c>
      <c r="BA534">
        <v>0</v>
      </c>
      <c r="BB534">
        <v>0</v>
      </c>
      <c r="BC534">
        <v>0</v>
      </c>
      <c r="BD534">
        <v>0</v>
      </c>
      <c r="BE534">
        <v>0</v>
      </c>
      <c r="BF534">
        <v>0</v>
      </c>
      <c r="BG534">
        <v>0</v>
      </c>
      <c r="BH534">
        <v>0</v>
      </c>
      <c r="BI534">
        <v>0</v>
      </c>
      <c r="BJ534">
        <v>0</v>
      </c>
      <c r="BK534">
        <v>0</v>
      </c>
      <c r="BL534">
        <v>0</v>
      </c>
      <c r="BM534">
        <v>0</v>
      </c>
      <c r="BN534">
        <v>0</v>
      </c>
      <c r="BO534">
        <v>0</v>
      </c>
      <c r="BP534">
        <v>0</v>
      </c>
      <c r="BQ534">
        <v>0</v>
      </c>
      <c r="BR534">
        <v>0</v>
      </c>
      <c r="BS534">
        <v>0</v>
      </c>
      <c r="BT534">
        <v>0</v>
      </c>
      <c r="BU534">
        <v>0</v>
      </c>
      <c r="BV534">
        <v>0</v>
      </c>
      <c r="BW534">
        <v>0</v>
      </c>
      <c r="BX534">
        <v>0</v>
      </c>
      <c r="BY534">
        <v>0</v>
      </c>
      <c r="BZ534">
        <v>0</v>
      </c>
      <c r="CA534">
        <v>0</v>
      </c>
      <c r="CB534">
        <v>0</v>
      </c>
    </row>
    <row r="535" spans="1:80" x14ac:dyDescent="0.2">
      <c r="A535">
        <v>0</v>
      </c>
      <c r="B535">
        <v>0</v>
      </c>
      <c r="C535">
        <v>0</v>
      </c>
      <c r="D535">
        <v>0</v>
      </c>
      <c r="E535">
        <v>0</v>
      </c>
      <c r="F535">
        <v>0</v>
      </c>
      <c r="G535">
        <v>0</v>
      </c>
      <c r="H535">
        <v>0</v>
      </c>
      <c r="I535">
        <v>0</v>
      </c>
      <c r="J535">
        <v>0</v>
      </c>
      <c r="K535">
        <v>0</v>
      </c>
      <c r="L535">
        <v>0</v>
      </c>
      <c r="M535">
        <v>0</v>
      </c>
      <c r="N535">
        <v>0</v>
      </c>
      <c r="O535">
        <v>0</v>
      </c>
      <c r="P535">
        <v>0</v>
      </c>
      <c r="Q535">
        <v>0</v>
      </c>
      <c r="R535">
        <v>0</v>
      </c>
      <c r="S535">
        <v>0</v>
      </c>
      <c r="T535">
        <v>0</v>
      </c>
      <c r="U535">
        <v>0</v>
      </c>
      <c r="V535">
        <v>0</v>
      </c>
      <c r="W535">
        <v>0</v>
      </c>
      <c r="X535">
        <v>0</v>
      </c>
      <c r="Y535">
        <v>0</v>
      </c>
      <c r="Z535">
        <v>0</v>
      </c>
      <c r="AA535">
        <v>0</v>
      </c>
      <c r="AB535">
        <v>0</v>
      </c>
      <c r="AC535">
        <v>0</v>
      </c>
      <c r="AD535">
        <v>0</v>
      </c>
      <c r="AE535">
        <v>0</v>
      </c>
      <c r="AF535">
        <v>0</v>
      </c>
      <c r="AG535">
        <v>0</v>
      </c>
      <c r="AH535">
        <v>0</v>
      </c>
      <c r="AI535">
        <v>0</v>
      </c>
      <c r="AJ535">
        <v>0</v>
      </c>
      <c r="AK535">
        <v>0</v>
      </c>
      <c r="AL535">
        <v>0</v>
      </c>
      <c r="AM535">
        <v>0</v>
      </c>
      <c r="AN535">
        <v>0</v>
      </c>
      <c r="AO535">
        <v>0</v>
      </c>
      <c r="AP535">
        <v>0</v>
      </c>
      <c r="AQ535">
        <v>0</v>
      </c>
      <c r="AR535">
        <v>0</v>
      </c>
      <c r="AS535">
        <v>0</v>
      </c>
      <c r="AT535">
        <v>0</v>
      </c>
      <c r="AU535">
        <v>0</v>
      </c>
      <c r="AV535">
        <v>0</v>
      </c>
      <c r="AW535">
        <v>0</v>
      </c>
      <c r="AX535">
        <v>0</v>
      </c>
      <c r="AY535">
        <v>0</v>
      </c>
      <c r="AZ535">
        <v>0</v>
      </c>
      <c r="BA535">
        <v>0</v>
      </c>
      <c r="BB535">
        <v>0</v>
      </c>
      <c r="BC535">
        <v>0</v>
      </c>
      <c r="BD535">
        <v>0</v>
      </c>
      <c r="BE535">
        <v>0</v>
      </c>
      <c r="BF535">
        <v>0</v>
      </c>
      <c r="BG535">
        <v>0</v>
      </c>
      <c r="BH535">
        <v>0</v>
      </c>
      <c r="BI535">
        <v>0</v>
      </c>
      <c r="BJ535">
        <v>0</v>
      </c>
      <c r="BK535">
        <v>0</v>
      </c>
      <c r="BL535">
        <v>0</v>
      </c>
      <c r="BM535">
        <v>0</v>
      </c>
      <c r="BN535">
        <v>0</v>
      </c>
      <c r="BO535">
        <v>0</v>
      </c>
      <c r="BP535">
        <v>0</v>
      </c>
      <c r="BQ535">
        <v>0</v>
      </c>
      <c r="BR535">
        <v>0</v>
      </c>
      <c r="BS535">
        <v>0</v>
      </c>
      <c r="BT535">
        <v>0</v>
      </c>
      <c r="BU535">
        <v>0</v>
      </c>
      <c r="BV535">
        <v>0</v>
      </c>
      <c r="BW535">
        <v>0</v>
      </c>
      <c r="BX535">
        <v>0</v>
      </c>
      <c r="BY535">
        <v>0</v>
      </c>
      <c r="BZ535">
        <v>0</v>
      </c>
      <c r="CA535">
        <v>0</v>
      </c>
      <c r="CB535">
        <v>0</v>
      </c>
    </row>
    <row r="536" spans="1:80" x14ac:dyDescent="0.2">
      <c r="A536">
        <v>0</v>
      </c>
      <c r="B536">
        <v>0</v>
      </c>
      <c r="C536">
        <v>0</v>
      </c>
      <c r="D536">
        <v>0</v>
      </c>
      <c r="E536">
        <v>0</v>
      </c>
      <c r="F536">
        <v>0</v>
      </c>
      <c r="G536">
        <v>0</v>
      </c>
      <c r="H536">
        <v>0</v>
      </c>
      <c r="I536">
        <v>0</v>
      </c>
      <c r="J536">
        <v>0</v>
      </c>
      <c r="K536">
        <v>0</v>
      </c>
      <c r="L536">
        <v>0</v>
      </c>
      <c r="M536">
        <v>0</v>
      </c>
      <c r="N536">
        <v>0</v>
      </c>
      <c r="O536">
        <v>0</v>
      </c>
      <c r="P536">
        <v>0</v>
      </c>
      <c r="Q536">
        <v>0</v>
      </c>
      <c r="R536">
        <v>0</v>
      </c>
      <c r="S536">
        <v>0</v>
      </c>
      <c r="T536">
        <v>0</v>
      </c>
      <c r="U536">
        <v>0</v>
      </c>
      <c r="V536">
        <v>0</v>
      </c>
      <c r="W536">
        <v>0</v>
      </c>
      <c r="X536">
        <v>0</v>
      </c>
      <c r="Y536">
        <v>0</v>
      </c>
      <c r="Z536">
        <v>0</v>
      </c>
      <c r="AA536">
        <v>0</v>
      </c>
      <c r="AB536">
        <v>0</v>
      </c>
      <c r="AC536">
        <v>0</v>
      </c>
      <c r="AD536">
        <v>0</v>
      </c>
      <c r="AE536">
        <v>0</v>
      </c>
      <c r="AF536">
        <v>0</v>
      </c>
      <c r="AG536">
        <v>0</v>
      </c>
      <c r="AH536">
        <v>0</v>
      </c>
      <c r="AI536">
        <v>0</v>
      </c>
      <c r="AJ536">
        <v>0</v>
      </c>
      <c r="AK536">
        <v>0</v>
      </c>
      <c r="AL536">
        <v>0</v>
      </c>
      <c r="AM536">
        <v>0</v>
      </c>
      <c r="AN536">
        <v>0</v>
      </c>
      <c r="AO536">
        <v>0</v>
      </c>
      <c r="AP536">
        <v>0</v>
      </c>
      <c r="AQ536">
        <v>0</v>
      </c>
      <c r="AR536">
        <v>0</v>
      </c>
      <c r="AS536">
        <v>0</v>
      </c>
      <c r="AT536">
        <v>0</v>
      </c>
      <c r="AU536">
        <v>0</v>
      </c>
      <c r="AV536">
        <v>0</v>
      </c>
      <c r="AW536">
        <v>0</v>
      </c>
      <c r="AX536">
        <v>0</v>
      </c>
      <c r="AY536">
        <v>0</v>
      </c>
      <c r="AZ536">
        <v>0</v>
      </c>
      <c r="BA536">
        <v>0</v>
      </c>
      <c r="BB536">
        <v>0</v>
      </c>
      <c r="BC536">
        <v>0</v>
      </c>
      <c r="BD536">
        <v>0</v>
      </c>
      <c r="BE536">
        <v>0</v>
      </c>
      <c r="BF536">
        <v>0</v>
      </c>
      <c r="BG536">
        <v>0</v>
      </c>
      <c r="BH536">
        <v>0</v>
      </c>
      <c r="BI536">
        <v>0</v>
      </c>
      <c r="BJ536">
        <v>0</v>
      </c>
      <c r="BK536">
        <v>0</v>
      </c>
      <c r="BL536">
        <v>0</v>
      </c>
      <c r="BM536">
        <v>0</v>
      </c>
      <c r="BN536">
        <v>0</v>
      </c>
      <c r="BO536">
        <v>0</v>
      </c>
      <c r="BP536">
        <v>0</v>
      </c>
      <c r="BQ536">
        <v>0</v>
      </c>
      <c r="BR536">
        <v>0</v>
      </c>
      <c r="BS536">
        <v>0</v>
      </c>
      <c r="BT536">
        <v>0</v>
      </c>
      <c r="BU536">
        <v>0</v>
      </c>
      <c r="BV536">
        <v>0</v>
      </c>
      <c r="BW536">
        <v>0</v>
      </c>
      <c r="BX536">
        <v>0</v>
      </c>
      <c r="BY536">
        <v>0</v>
      </c>
      <c r="BZ536">
        <v>0</v>
      </c>
      <c r="CA536">
        <v>0</v>
      </c>
      <c r="CB536">
        <v>0</v>
      </c>
    </row>
    <row r="537" spans="1:80" x14ac:dyDescent="0.2">
      <c r="A537">
        <v>0</v>
      </c>
      <c r="B537">
        <v>0</v>
      </c>
      <c r="C537">
        <v>0</v>
      </c>
      <c r="D537">
        <v>0</v>
      </c>
      <c r="E537">
        <v>0</v>
      </c>
      <c r="F537">
        <v>0</v>
      </c>
      <c r="G537">
        <v>0</v>
      </c>
      <c r="H537">
        <v>0</v>
      </c>
      <c r="I537">
        <v>0</v>
      </c>
      <c r="J537">
        <v>0</v>
      </c>
      <c r="K537">
        <v>0</v>
      </c>
      <c r="L537">
        <v>0</v>
      </c>
      <c r="M537">
        <v>0</v>
      </c>
      <c r="N537">
        <v>0</v>
      </c>
      <c r="O537">
        <v>0</v>
      </c>
      <c r="P537">
        <v>0</v>
      </c>
      <c r="Q537">
        <v>0</v>
      </c>
      <c r="R537">
        <v>0</v>
      </c>
      <c r="S537">
        <v>0</v>
      </c>
      <c r="T537">
        <v>0</v>
      </c>
      <c r="U537">
        <v>0</v>
      </c>
      <c r="V537">
        <v>0</v>
      </c>
      <c r="W537">
        <v>0</v>
      </c>
      <c r="X537">
        <v>0</v>
      </c>
      <c r="Y537">
        <v>0</v>
      </c>
      <c r="Z537">
        <v>0</v>
      </c>
      <c r="AA537">
        <v>0</v>
      </c>
      <c r="AB537">
        <v>0</v>
      </c>
      <c r="AC537">
        <v>0</v>
      </c>
      <c r="AD537">
        <v>0</v>
      </c>
      <c r="AE537">
        <v>0</v>
      </c>
      <c r="AF537">
        <v>0</v>
      </c>
      <c r="AG537">
        <v>0</v>
      </c>
      <c r="AH537">
        <v>0</v>
      </c>
      <c r="AI537">
        <v>0</v>
      </c>
      <c r="AJ537">
        <v>0</v>
      </c>
      <c r="AK537">
        <v>0</v>
      </c>
      <c r="AL537">
        <v>0</v>
      </c>
      <c r="AM537">
        <v>0</v>
      </c>
      <c r="AN537">
        <v>0</v>
      </c>
      <c r="AO537">
        <v>0</v>
      </c>
      <c r="AP537">
        <v>0</v>
      </c>
      <c r="AQ537">
        <v>0</v>
      </c>
      <c r="AR537">
        <v>0</v>
      </c>
      <c r="AS537">
        <v>0</v>
      </c>
      <c r="AT537">
        <v>0</v>
      </c>
      <c r="AU537">
        <v>0</v>
      </c>
      <c r="AV537">
        <v>0</v>
      </c>
      <c r="AW537">
        <v>0</v>
      </c>
      <c r="AX537">
        <v>0</v>
      </c>
      <c r="AY537">
        <v>0</v>
      </c>
      <c r="AZ537">
        <v>0</v>
      </c>
      <c r="BA537">
        <v>0</v>
      </c>
      <c r="BB537">
        <v>0</v>
      </c>
      <c r="BC537">
        <v>0</v>
      </c>
      <c r="BD537">
        <v>0</v>
      </c>
      <c r="BE537">
        <v>0</v>
      </c>
      <c r="BF537">
        <v>0</v>
      </c>
      <c r="BG537">
        <v>0</v>
      </c>
      <c r="BH537">
        <v>0</v>
      </c>
      <c r="BI537">
        <v>0</v>
      </c>
      <c r="BJ537">
        <v>0</v>
      </c>
      <c r="BK537">
        <v>0</v>
      </c>
      <c r="BL537">
        <v>0</v>
      </c>
      <c r="BM537">
        <v>0</v>
      </c>
      <c r="BN537">
        <v>0</v>
      </c>
      <c r="BO537">
        <v>0</v>
      </c>
      <c r="BP537">
        <v>0</v>
      </c>
      <c r="BQ537">
        <v>0</v>
      </c>
      <c r="BR537">
        <v>0</v>
      </c>
      <c r="BS537">
        <v>0</v>
      </c>
      <c r="BT537">
        <v>0</v>
      </c>
      <c r="BU537">
        <v>0</v>
      </c>
      <c r="BV537">
        <v>0</v>
      </c>
      <c r="BW537">
        <v>0</v>
      </c>
      <c r="BX537">
        <v>0</v>
      </c>
      <c r="BY537">
        <v>0</v>
      </c>
      <c r="BZ537">
        <v>0</v>
      </c>
      <c r="CA537">
        <v>0</v>
      </c>
      <c r="CB537">
        <v>0</v>
      </c>
    </row>
    <row r="538" spans="1:80" x14ac:dyDescent="0.2">
      <c r="A538">
        <v>0</v>
      </c>
      <c r="B538">
        <v>0</v>
      </c>
      <c r="C538">
        <v>0</v>
      </c>
      <c r="D538">
        <v>0</v>
      </c>
      <c r="E538">
        <v>0</v>
      </c>
      <c r="F538">
        <v>0</v>
      </c>
      <c r="G538">
        <v>0</v>
      </c>
      <c r="H538">
        <v>0</v>
      </c>
      <c r="I538">
        <v>0</v>
      </c>
      <c r="J538">
        <v>0</v>
      </c>
      <c r="K538">
        <v>0</v>
      </c>
      <c r="L538">
        <v>0</v>
      </c>
      <c r="M538">
        <v>0</v>
      </c>
      <c r="N538">
        <v>0</v>
      </c>
      <c r="O538">
        <v>0</v>
      </c>
      <c r="P538">
        <v>0</v>
      </c>
      <c r="Q538">
        <v>0</v>
      </c>
      <c r="R538">
        <v>0</v>
      </c>
      <c r="S538">
        <v>0</v>
      </c>
      <c r="T538">
        <v>0</v>
      </c>
      <c r="U538">
        <v>0</v>
      </c>
      <c r="V538">
        <v>0</v>
      </c>
      <c r="W538">
        <v>0</v>
      </c>
      <c r="X538">
        <v>0</v>
      </c>
      <c r="Y538">
        <v>0</v>
      </c>
      <c r="Z538">
        <v>0</v>
      </c>
      <c r="AA538">
        <v>0</v>
      </c>
      <c r="AB538">
        <v>0</v>
      </c>
      <c r="AC538">
        <v>0</v>
      </c>
      <c r="AD538">
        <v>0</v>
      </c>
      <c r="AE538">
        <v>0</v>
      </c>
      <c r="AF538">
        <v>0</v>
      </c>
      <c r="AG538">
        <v>0</v>
      </c>
      <c r="AH538">
        <v>0</v>
      </c>
      <c r="AI538">
        <v>0</v>
      </c>
      <c r="AJ538">
        <v>0</v>
      </c>
      <c r="AK538">
        <v>0</v>
      </c>
      <c r="AL538">
        <v>0</v>
      </c>
      <c r="AM538">
        <v>0</v>
      </c>
      <c r="AN538">
        <v>0</v>
      </c>
      <c r="AO538">
        <v>0</v>
      </c>
      <c r="AP538">
        <v>0</v>
      </c>
      <c r="AQ538">
        <v>0</v>
      </c>
      <c r="AR538">
        <v>0</v>
      </c>
      <c r="AS538">
        <v>0</v>
      </c>
      <c r="AT538">
        <v>0</v>
      </c>
      <c r="AU538">
        <v>0</v>
      </c>
      <c r="AV538">
        <v>0</v>
      </c>
      <c r="AW538">
        <v>0</v>
      </c>
      <c r="AX538">
        <v>0</v>
      </c>
      <c r="AY538">
        <v>0</v>
      </c>
      <c r="AZ538">
        <v>0</v>
      </c>
      <c r="BA538">
        <v>0</v>
      </c>
      <c r="BB538">
        <v>0</v>
      </c>
      <c r="BC538">
        <v>0</v>
      </c>
      <c r="BD538">
        <v>0</v>
      </c>
      <c r="BE538">
        <v>0</v>
      </c>
      <c r="BF538">
        <v>0</v>
      </c>
      <c r="BG538">
        <v>0</v>
      </c>
      <c r="BH538">
        <v>0</v>
      </c>
      <c r="BI538">
        <v>0</v>
      </c>
      <c r="BJ538">
        <v>0</v>
      </c>
      <c r="BK538">
        <v>0</v>
      </c>
      <c r="BL538">
        <v>0</v>
      </c>
      <c r="BM538">
        <v>0</v>
      </c>
      <c r="BN538">
        <v>0</v>
      </c>
      <c r="BO538">
        <v>0</v>
      </c>
      <c r="BP538">
        <v>0</v>
      </c>
      <c r="BQ538">
        <v>0</v>
      </c>
      <c r="BR538">
        <v>0</v>
      </c>
      <c r="BS538">
        <v>0</v>
      </c>
      <c r="BT538">
        <v>0</v>
      </c>
      <c r="BU538">
        <v>0</v>
      </c>
      <c r="BV538">
        <v>0</v>
      </c>
      <c r="BW538">
        <v>0</v>
      </c>
      <c r="BX538">
        <v>0</v>
      </c>
      <c r="BY538">
        <v>0</v>
      </c>
      <c r="BZ538">
        <v>0</v>
      </c>
      <c r="CA538">
        <v>0</v>
      </c>
      <c r="CB538">
        <v>0</v>
      </c>
    </row>
    <row r="539" spans="1:80" x14ac:dyDescent="0.2">
      <c r="A539">
        <v>0</v>
      </c>
      <c r="B539">
        <v>0</v>
      </c>
      <c r="C539">
        <v>0</v>
      </c>
      <c r="D539">
        <v>0</v>
      </c>
      <c r="E539">
        <v>0</v>
      </c>
      <c r="F539">
        <v>0</v>
      </c>
      <c r="G539">
        <v>0</v>
      </c>
      <c r="H539">
        <v>0</v>
      </c>
      <c r="I539">
        <v>0</v>
      </c>
      <c r="J539">
        <v>0</v>
      </c>
      <c r="K539">
        <v>0</v>
      </c>
      <c r="L539">
        <v>0</v>
      </c>
      <c r="M539">
        <v>0</v>
      </c>
      <c r="N539">
        <v>0</v>
      </c>
      <c r="O539">
        <v>0</v>
      </c>
      <c r="P539">
        <v>0</v>
      </c>
      <c r="Q539">
        <v>0</v>
      </c>
      <c r="R539">
        <v>0</v>
      </c>
      <c r="S539">
        <v>0</v>
      </c>
      <c r="T539">
        <v>0</v>
      </c>
      <c r="U539">
        <v>0</v>
      </c>
      <c r="V539">
        <v>0</v>
      </c>
      <c r="W539">
        <v>0</v>
      </c>
      <c r="X539">
        <v>0</v>
      </c>
      <c r="Y539">
        <v>0</v>
      </c>
      <c r="Z539">
        <v>0</v>
      </c>
      <c r="AA539">
        <v>0</v>
      </c>
      <c r="AB539">
        <v>0</v>
      </c>
      <c r="AC539">
        <v>0</v>
      </c>
      <c r="AD539">
        <v>0</v>
      </c>
      <c r="AE539">
        <v>0</v>
      </c>
      <c r="AF539">
        <v>0</v>
      </c>
      <c r="AG539">
        <v>0</v>
      </c>
      <c r="AH539">
        <v>0</v>
      </c>
      <c r="AI539">
        <v>0</v>
      </c>
      <c r="AJ539">
        <v>0</v>
      </c>
      <c r="AK539">
        <v>0</v>
      </c>
      <c r="AL539">
        <v>0</v>
      </c>
      <c r="AM539">
        <v>0</v>
      </c>
      <c r="AN539">
        <v>0</v>
      </c>
      <c r="AO539">
        <v>0</v>
      </c>
      <c r="AP539">
        <v>0</v>
      </c>
      <c r="AQ539">
        <v>0</v>
      </c>
      <c r="AR539">
        <v>0</v>
      </c>
      <c r="AS539">
        <v>0</v>
      </c>
      <c r="AT539">
        <v>0</v>
      </c>
      <c r="AU539">
        <v>0</v>
      </c>
      <c r="AV539">
        <v>0</v>
      </c>
      <c r="AW539">
        <v>0</v>
      </c>
      <c r="AX539">
        <v>0</v>
      </c>
      <c r="AY539">
        <v>0</v>
      </c>
      <c r="AZ539">
        <v>0</v>
      </c>
      <c r="BA539">
        <v>0</v>
      </c>
      <c r="BB539">
        <v>0</v>
      </c>
      <c r="BC539">
        <v>0</v>
      </c>
      <c r="BD539">
        <v>0</v>
      </c>
      <c r="BE539">
        <v>0</v>
      </c>
      <c r="BF539">
        <v>0</v>
      </c>
      <c r="BG539">
        <v>0</v>
      </c>
      <c r="BH539">
        <v>0</v>
      </c>
      <c r="BI539">
        <v>0</v>
      </c>
      <c r="BJ539">
        <v>0</v>
      </c>
      <c r="BK539">
        <v>0</v>
      </c>
      <c r="BL539">
        <v>0</v>
      </c>
      <c r="BM539">
        <v>0</v>
      </c>
      <c r="BN539">
        <v>0</v>
      </c>
      <c r="BO539">
        <v>0</v>
      </c>
      <c r="BP539">
        <v>0</v>
      </c>
      <c r="BQ539">
        <v>0</v>
      </c>
      <c r="BR539">
        <v>0</v>
      </c>
      <c r="BS539">
        <v>0</v>
      </c>
      <c r="BT539">
        <v>0</v>
      </c>
      <c r="BU539">
        <v>0</v>
      </c>
      <c r="BV539">
        <v>0</v>
      </c>
      <c r="BW539">
        <v>0</v>
      </c>
      <c r="BX539">
        <v>0</v>
      </c>
      <c r="BY539">
        <v>0</v>
      </c>
      <c r="BZ539">
        <v>0</v>
      </c>
      <c r="CA539">
        <v>0</v>
      </c>
      <c r="CB539">
        <v>0</v>
      </c>
    </row>
    <row r="540" spans="1:80" x14ac:dyDescent="0.2">
      <c r="A540">
        <v>0</v>
      </c>
      <c r="B540">
        <v>0</v>
      </c>
      <c r="C540">
        <v>0</v>
      </c>
      <c r="D540">
        <v>0</v>
      </c>
      <c r="E540">
        <v>0</v>
      </c>
      <c r="F540">
        <v>0</v>
      </c>
      <c r="G540">
        <v>0</v>
      </c>
      <c r="H540">
        <v>0</v>
      </c>
      <c r="I540">
        <v>0</v>
      </c>
      <c r="J540">
        <v>0</v>
      </c>
      <c r="K540">
        <v>0</v>
      </c>
      <c r="L540">
        <v>0</v>
      </c>
      <c r="M540">
        <v>0</v>
      </c>
      <c r="N540">
        <v>0</v>
      </c>
      <c r="O540">
        <v>0</v>
      </c>
      <c r="P540">
        <v>0</v>
      </c>
      <c r="Q540">
        <v>0</v>
      </c>
      <c r="R540">
        <v>0</v>
      </c>
      <c r="S540">
        <v>0</v>
      </c>
      <c r="T540">
        <v>0</v>
      </c>
      <c r="U540">
        <v>0</v>
      </c>
      <c r="V540">
        <v>0</v>
      </c>
      <c r="W540">
        <v>0</v>
      </c>
      <c r="X540">
        <v>0</v>
      </c>
      <c r="Y540">
        <v>0</v>
      </c>
      <c r="Z540">
        <v>0</v>
      </c>
      <c r="AA540">
        <v>0</v>
      </c>
      <c r="AB540">
        <v>0</v>
      </c>
      <c r="AC540">
        <v>0</v>
      </c>
      <c r="AD540">
        <v>0</v>
      </c>
      <c r="AE540">
        <v>0</v>
      </c>
      <c r="AF540">
        <v>0</v>
      </c>
      <c r="AG540">
        <v>0</v>
      </c>
      <c r="AH540">
        <v>0</v>
      </c>
      <c r="AI540">
        <v>0</v>
      </c>
      <c r="AJ540">
        <v>0</v>
      </c>
      <c r="AK540">
        <v>0</v>
      </c>
      <c r="AL540">
        <v>0</v>
      </c>
      <c r="AM540">
        <v>0</v>
      </c>
      <c r="AN540">
        <v>0</v>
      </c>
      <c r="AO540">
        <v>0</v>
      </c>
      <c r="AP540">
        <v>0</v>
      </c>
      <c r="AQ540">
        <v>0</v>
      </c>
      <c r="AR540">
        <v>0</v>
      </c>
      <c r="AS540">
        <v>0</v>
      </c>
      <c r="AT540">
        <v>0</v>
      </c>
      <c r="AU540">
        <v>0</v>
      </c>
      <c r="AV540">
        <v>0</v>
      </c>
      <c r="AW540">
        <v>0</v>
      </c>
      <c r="AX540">
        <v>0</v>
      </c>
      <c r="AY540">
        <v>0</v>
      </c>
      <c r="AZ540">
        <v>0</v>
      </c>
      <c r="BA540">
        <v>0</v>
      </c>
      <c r="BB540">
        <v>0</v>
      </c>
      <c r="BC540">
        <v>0</v>
      </c>
      <c r="BD540">
        <v>0</v>
      </c>
      <c r="BE540">
        <v>0</v>
      </c>
      <c r="BF540">
        <v>0</v>
      </c>
      <c r="BG540">
        <v>0</v>
      </c>
      <c r="BH540">
        <v>0</v>
      </c>
      <c r="BI540">
        <v>0</v>
      </c>
      <c r="BJ540">
        <v>0</v>
      </c>
      <c r="BK540">
        <v>0</v>
      </c>
      <c r="BL540">
        <v>0</v>
      </c>
      <c r="BM540">
        <v>0</v>
      </c>
      <c r="BN540">
        <v>0</v>
      </c>
      <c r="BO540">
        <v>0</v>
      </c>
      <c r="BP540">
        <v>0</v>
      </c>
      <c r="BQ540">
        <v>0</v>
      </c>
      <c r="BR540">
        <v>0</v>
      </c>
      <c r="BS540">
        <v>0</v>
      </c>
      <c r="BT540">
        <v>0</v>
      </c>
      <c r="BU540">
        <v>0</v>
      </c>
      <c r="BV540">
        <v>0</v>
      </c>
      <c r="BW540">
        <v>0</v>
      </c>
      <c r="BX540">
        <v>0</v>
      </c>
      <c r="BY540">
        <v>0</v>
      </c>
      <c r="BZ540">
        <v>0</v>
      </c>
      <c r="CA540">
        <v>0</v>
      </c>
      <c r="CB540">
        <v>0</v>
      </c>
    </row>
    <row r="541" spans="1:80" x14ac:dyDescent="0.2">
      <c r="A541">
        <v>0</v>
      </c>
      <c r="B541">
        <v>0</v>
      </c>
      <c r="C541">
        <v>0</v>
      </c>
      <c r="D541">
        <v>0</v>
      </c>
      <c r="E541">
        <v>0</v>
      </c>
      <c r="F541">
        <v>0</v>
      </c>
      <c r="G541">
        <v>0</v>
      </c>
      <c r="H541">
        <v>0</v>
      </c>
      <c r="I541">
        <v>0</v>
      </c>
      <c r="J541">
        <v>0</v>
      </c>
      <c r="K541">
        <v>0</v>
      </c>
      <c r="L541">
        <v>0</v>
      </c>
      <c r="M541">
        <v>0</v>
      </c>
      <c r="N541">
        <v>0</v>
      </c>
      <c r="O541">
        <v>0</v>
      </c>
      <c r="P541">
        <v>0</v>
      </c>
      <c r="Q541">
        <v>0</v>
      </c>
      <c r="R541">
        <v>0</v>
      </c>
      <c r="S541">
        <v>0</v>
      </c>
      <c r="T541">
        <v>0</v>
      </c>
      <c r="U541">
        <v>0</v>
      </c>
      <c r="V541">
        <v>0</v>
      </c>
      <c r="W541">
        <v>0</v>
      </c>
      <c r="X541">
        <v>0</v>
      </c>
      <c r="Y541">
        <v>0</v>
      </c>
      <c r="Z541">
        <v>0</v>
      </c>
      <c r="AA541">
        <v>0</v>
      </c>
      <c r="AB541">
        <v>0</v>
      </c>
      <c r="AC541">
        <v>0</v>
      </c>
      <c r="AD541">
        <v>0</v>
      </c>
      <c r="AE541">
        <v>0</v>
      </c>
      <c r="AF541">
        <v>0</v>
      </c>
      <c r="AG541">
        <v>0</v>
      </c>
      <c r="AH541">
        <v>0</v>
      </c>
      <c r="AI541">
        <v>0</v>
      </c>
      <c r="AJ541">
        <v>0</v>
      </c>
      <c r="AK541">
        <v>0</v>
      </c>
      <c r="AL541">
        <v>0</v>
      </c>
      <c r="AM541">
        <v>0</v>
      </c>
      <c r="AN541">
        <v>0</v>
      </c>
      <c r="AO541">
        <v>0</v>
      </c>
      <c r="AP541">
        <v>0</v>
      </c>
      <c r="AQ541">
        <v>0</v>
      </c>
      <c r="AR541">
        <v>0</v>
      </c>
      <c r="AS541">
        <v>0</v>
      </c>
      <c r="AT541">
        <v>0</v>
      </c>
      <c r="AU541">
        <v>0</v>
      </c>
      <c r="AV541">
        <v>0</v>
      </c>
      <c r="AW541">
        <v>0</v>
      </c>
      <c r="AX541">
        <v>0</v>
      </c>
      <c r="AY541">
        <v>0</v>
      </c>
      <c r="AZ541">
        <v>0</v>
      </c>
      <c r="BA541">
        <v>0</v>
      </c>
      <c r="BB541">
        <v>0</v>
      </c>
      <c r="BC541">
        <v>0</v>
      </c>
      <c r="BD541">
        <v>0</v>
      </c>
      <c r="BE541">
        <v>0</v>
      </c>
      <c r="BF541">
        <v>0</v>
      </c>
      <c r="BG541">
        <v>0</v>
      </c>
      <c r="BH541">
        <v>0</v>
      </c>
      <c r="BI541">
        <v>0</v>
      </c>
      <c r="BJ541">
        <v>0</v>
      </c>
      <c r="BK541">
        <v>0</v>
      </c>
      <c r="BL541">
        <v>0</v>
      </c>
      <c r="BM541">
        <v>0</v>
      </c>
      <c r="BN541">
        <v>0</v>
      </c>
      <c r="BO541">
        <v>0</v>
      </c>
      <c r="BP541">
        <v>0</v>
      </c>
      <c r="BQ541">
        <v>0</v>
      </c>
      <c r="BR541">
        <v>0</v>
      </c>
      <c r="BS541">
        <v>0</v>
      </c>
      <c r="BT541">
        <v>0</v>
      </c>
      <c r="BU541">
        <v>0</v>
      </c>
      <c r="BV541">
        <v>0</v>
      </c>
      <c r="BW541">
        <v>0</v>
      </c>
      <c r="BX541">
        <v>0</v>
      </c>
      <c r="BY541">
        <v>0</v>
      </c>
      <c r="BZ541">
        <v>0</v>
      </c>
      <c r="CA541">
        <v>0</v>
      </c>
      <c r="CB541">
        <v>0</v>
      </c>
    </row>
    <row r="542" spans="1:80" x14ac:dyDescent="0.2">
      <c r="A542">
        <v>0</v>
      </c>
      <c r="B542">
        <v>0</v>
      </c>
      <c r="C542">
        <v>0</v>
      </c>
      <c r="D542">
        <v>0</v>
      </c>
      <c r="E542">
        <v>0</v>
      </c>
      <c r="F542">
        <v>0</v>
      </c>
      <c r="G542">
        <v>0</v>
      </c>
      <c r="H542">
        <v>0</v>
      </c>
      <c r="I542">
        <v>0</v>
      </c>
      <c r="J542">
        <v>0</v>
      </c>
      <c r="K542">
        <v>0</v>
      </c>
      <c r="L542">
        <v>0</v>
      </c>
      <c r="M542">
        <v>0</v>
      </c>
      <c r="N542">
        <v>0</v>
      </c>
      <c r="O542">
        <v>0</v>
      </c>
      <c r="P542">
        <v>0</v>
      </c>
      <c r="Q542">
        <v>0</v>
      </c>
      <c r="R542">
        <v>0</v>
      </c>
      <c r="S542">
        <v>0</v>
      </c>
      <c r="T542">
        <v>0</v>
      </c>
      <c r="U542">
        <v>0</v>
      </c>
      <c r="V542">
        <v>0</v>
      </c>
      <c r="W542">
        <v>0</v>
      </c>
      <c r="X542">
        <v>0</v>
      </c>
      <c r="Y542">
        <v>0</v>
      </c>
      <c r="Z542">
        <v>0</v>
      </c>
      <c r="AA542">
        <v>0</v>
      </c>
      <c r="AB542">
        <v>0</v>
      </c>
      <c r="AC542">
        <v>0</v>
      </c>
      <c r="AD542">
        <v>0</v>
      </c>
      <c r="AE542">
        <v>0</v>
      </c>
      <c r="AF542">
        <v>0</v>
      </c>
      <c r="AG542">
        <v>0</v>
      </c>
      <c r="AH542">
        <v>0</v>
      </c>
      <c r="AI542">
        <v>0</v>
      </c>
      <c r="AJ542">
        <v>0</v>
      </c>
      <c r="AK542">
        <v>0</v>
      </c>
      <c r="AL542">
        <v>0</v>
      </c>
      <c r="AM542">
        <v>0</v>
      </c>
      <c r="AN542">
        <v>0</v>
      </c>
      <c r="AO542">
        <v>0</v>
      </c>
      <c r="AP542">
        <v>0</v>
      </c>
      <c r="AQ542">
        <v>0</v>
      </c>
      <c r="AR542">
        <v>0</v>
      </c>
      <c r="AS542">
        <v>0</v>
      </c>
      <c r="AT542">
        <v>0</v>
      </c>
      <c r="AU542">
        <v>0</v>
      </c>
      <c r="AV542">
        <v>0</v>
      </c>
      <c r="AW542">
        <v>0</v>
      </c>
      <c r="AX542">
        <v>0</v>
      </c>
      <c r="AY542">
        <v>0</v>
      </c>
      <c r="AZ542">
        <v>0</v>
      </c>
      <c r="BA542">
        <v>0</v>
      </c>
      <c r="BB542">
        <v>0</v>
      </c>
      <c r="BC542">
        <v>0</v>
      </c>
      <c r="BD542">
        <v>0</v>
      </c>
      <c r="BE542">
        <v>0</v>
      </c>
      <c r="BF542">
        <v>0</v>
      </c>
      <c r="BG542">
        <v>0</v>
      </c>
      <c r="BH542">
        <v>0</v>
      </c>
      <c r="BI542">
        <v>0</v>
      </c>
      <c r="BJ542">
        <v>0</v>
      </c>
      <c r="BK542">
        <v>0</v>
      </c>
      <c r="BL542">
        <v>0</v>
      </c>
      <c r="BM542">
        <v>0</v>
      </c>
      <c r="BN542">
        <v>0</v>
      </c>
      <c r="BO542">
        <v>0</v>
      </c>
      <c r="BP542">
        <v>0</v>
      </c>
      <c r="BQ542">
        <v>0</v>
      </c>
      <c r="BR542">
        <v>0</v>
      </c>
      <c r="BS542">
        <v>0</v>
      </c>
      <c r="BT542">
        <v>0</v>
      </c>
      <c r="BU542">
        <v>0</v>
      </c>
      <c r="BV542">
        <v>0</v>
      </c>
      <c r="BW542">
        <v>0</v>
      </c>
      <c r="BX542">
        <v>0</v>
      </c>
      <c r="BY542">
        <v>0</v>
      </c>
      <c r="BZ542">
        <v>0</v>
      </c>
      <c r="CA542">
        <v>0</v>
      </c>
      <c r="CB542">
        <v>0</v>
      </c>
    </row>
    <row r="543" spans="1:80" x14ac:dyDescent="0.2">
      <c r="A543">
        <v>0</v>
      </c>
      <c r="B543">
        <v>0</v>
      </c>
      <c r="C543">
        <v>0</v>
      </c>
      <c r="D543">
        <v>0</v>
      </c>
      <c r="E543">
        <v>0</v>
      </c>
      <c r="F543">
        <v>0</v>
      </c>
      <c r="G543">
        <v>0</v>
      </c>
      <c r="H543">
        <v>0</v>
      </c>
      <c r="I543">
        <v>0</v>
      </c>
      <c r="J543">
        <v>0</v>
      </c>
      <c r="K543">
        <v>0</v>
      </c>
      <c r="L543">
        <v>0</v>
      </c>
      <c r="M543">
        <v>0</v>
      </c>
      <c r="N543">
        <v>0</v>
      </c>
      <c r="O543">
        <v>0</v>
      </c>
      <c r="P543">
        <v>0</v>
      </c>
      <c r="Q543">
        <v>0</v>
      </c>
      <c r="R543">
        <v>0</v>
      </c>
      <c r="S543">
        <v>0</v>
      </c>
      <c r="T543">
        <v>0</v>
      </c>
      <c r="U543">
        <v>0</v>
      </c>
      <c r="V543">
        <v>0</v>
      </c>
      <c r="W543">
        <v>0</v>
      </c>
      <c r="X543">
        <v>0</v>
      </c>
      <c r="Y543">
        <v>0</v>
      </c>
      <c r="Z543">
        <v>0</v>
      </c>
      <c r="AA543">
        <v>0</v>
      </c>
      <c r="AB543">
        <v>0</v>
      </c>
      <c r="AC543">
        <v>0</v>
      </c>
      <c r="AD543">
        <v>0</v>
      </c>
      <c r="AE543">
        <v>0</v>
      </c>
      <c r="AF543">
        <v>0</v>
      </c>
      <c r="AG543">
        <v>0</v>
      </c>
      <c r="AH543">
        <v>0</v>
      </c>
      <c r="AI543">
        <v>0</v>
      </c>
      <c r="AJ543">
        <v>0</v>
      </c>
      <c r="AK543">
        <v>0</v>
      </c>
      <c r="AL543">
        <v>0</v>
      </c>
      <c r="AM543">
        <v>0</v>
      </c>
      <c r="AN543">
        <v>0</v>
      </c>
      <c r="AO543">
        <v>0</v>
      </c>
      <c r="AP543">
        <v>0</v>
      </c>
      <c r="AQ543">
        <v>0</v>
      </c>
      <c r="AR543">
        <v>0</v>
      </c>
      <c r="AS543">
        <v>0</v>
      </c>
      <c r="AT543">
        <v>0</v>
      </c>
      <c r="AU543">
        <v>0</v>
      </c>
      <c r="AV543">
        <v>0</v>
      </c>
      <c r="AW543">
        <v>0</v>
      </c>
      <c r="AX543">
        <v>0</v>
      </c>
      <c r="AY543">
        <v>0</v>
      </c>
      <c r="AZ543">
        <v>0</v>
      </c>
      <c r="BA543">
        <v>0</v>
      </c>
      <c r="BB543">
        <v>0</v>
      </c>
      <c r="BC543">
        <v>0</v>
      </c>
      <c r="BD543">
        <v>0</v>
      </c>
      <c r="BE543">
        <v>0</v>
      </c>
      <c r="BF543">
        <v>0</v>
      </c>
      <c r="BG543">
        <v>0</v>
      </c>
      <c r="BH543">
        <v>0</v>
      </c>
      <c r="BI543">
        <v>0</v>
      </c>
      <c r="BJ543">
        <v>0</v>
      </c>
      <c r="BK543">
        <v>0</v>
      </c>
      <c r="BL543">
        <v>0</v>
      </c>
      <c r="BM543">
        <v>0</v>
      </c>
      <c r="BN543">
        <v>0</v>
      </c>
      <c r="BO543">
        <v>0</v>
      </c>
      <c r="BP543">
        <v>0</v>
      </c>
      <c r="BQ543">
        <v>0</v>
      </c>
      <c r="BR543">
        <v>0</v>
      </c>
      <c r="BS543">
        <v>0</v>
      </c>
      <c r="BT543">
        <v>0</v>
      </c>
      <c r="BU543">
        <v>0</v>
      </c>
      <c r="BV543">
        <v>0</v>
      </c>
      <c r="BW543">
        <v>0</v>
      </c>
      <c r="BX543">
        <v>0</v>
      </c>
      <c r="BY543">
        <v>0</v>
      </c>
      <c r="BZ543">
        <v>0</v>
      </c>
      <c r="CA543">
        <v>0</v>
      </c>
      <c r="CB543">
        <v>0</v>
      </c>
    </row>
    <row r="544" spans="1:80" x14ac:dyDescent="0.2">
      <c r="A544">
        <v>0</v>
      </c>
      <c r="B544">
        <v>0</v>
      </c>
      <c r="C544">
        <v>0</v>
      </c>
      <c r="D544">
        <v>0</v>
      </c>
      <c r="E544">
        <v>0</v>
      </c>
      <c r="F544">
        <v>0</v>
      </c>
      <c r="G544">
        <v>0</v>
      </c>
      <c r="H544">
        <v>0</v>
      </c>
      <c r="I544">
        <v>0</v>
      </c>
      <c r="J544">
        <v>0</v>
      </c>
      <c r="K544">
        <v>0</v>
      </c>
      <c r="L544">
        <v>0</v>
      </c>
      <c r="M544">
        <v>0</v>
      </c>
      <c r="N544">
        <v>0</v>
      </c>
      <c r="O544">
        <v>0</v>
      </c>
      <c r="P544">
        <v>0</v>
      </c>
      <c r="Q544">
        <v>0</v>
      </c>
      <c r="R544">
        <v>0</v>
      </c>
      <c r="S544">
        <v>0</v>
      </c>
      <c r="T544">
        <v>0</v>
      </c>
      <c r="U544">
        <v>0</v>
      </c>
      <c r="V544">
        <v>0</v>
      </c>
      <c r="W544">
        <v>0</v>
      </c>
      <c r="X544">
        <v>0</v>
      </c>
      <c r="Y544">
        <v>0</v>
      </c>
      <c r="Z544">
        <v>0</v>
      </c>
      <c r="AA544">
        <v>0</v>
      </c>
      <c r="AB544">
        <v>0</v>
      </c>
      <c r="AC544">
        <v>0</v>
      </c>
      <c r="AD544">
        <v>0</v>
      </c>
      <c r="AE544">
        <v>0</v>
      </c>
      <c r="AF544">
        <v>0</v>
      </c>
      <c r="AG544">
        <v>0</v>
      </c>
      <c r="AH544">
        <v>0</v>
      </c>
      <c r="AI544">
        <v>0</v>
      </c>
      <c r="AJ544">
        <v>0</v>
      </c>
      <c r="AK544">
        <v>0</v>
      </c>
      <c r="AL544">
        <v>0</v>
      </c>
      <c r="AM544">
        <v>0</v>
      </c>
      <c r="AN544">
        <v>0</v>
      </c>
      <c r="AO544">
        <v>0</v>
      </c>
      <c r="AP544">
        <v>0</v>
      </c>
      <c r="AQ544">
        <v>0</v>
      </c>
      <c r="AR544">
        <v>0</v>
      </c>
      <c r="AS544">
        <v>0</v>
      </c>
      <c r="AT544">
        <v>0</v>
      </c>
      <c r="AU544">
        <v>0</v>
      </c>
      <c r="AV544">
        <v>0</v>
      </c>
      <c r="AW544">
        <v>0</v>
      </c>
      <c r="AX544">
        <v>0</v>
      </c>
      <c r="AY544">
        <v>0</v>
      </c>
      <c r="AZ544">
        <v>0</v>
      </c>
      <c r="BA544">
        <v>0</v>
      </c>
      <c r="BB544">
        <v>0</v>
      </c>
      <c r="BC544">
        <v>0</v>
      </c>
      <c r="BD544">
        <v>0</v>
      </c>
      <c r="BE544">
        <v>0</v>
      </c>
      <c r="BF544">
        <v>0</v>
      </c>
      <c r="BG544">
        <v>0</v>
      </c>
      <c r="BH544">
        <v>0</v>
      </c>
      <c r="BI544">
        <v>0</v>
      </c>
      <c r="BJ544">
        <v>0</v>
      </c>
      <c r="BK544">
        <v>0</v>
      </c>
      <c r="BL544">
        <v>0</v>
      </c>
      <c r="BM544">
        <v>0</v>
      </c>
      <c r="BN544">
        <v>0</v>
      </c>
      <c r="BO544">
        <v>0</v>
      </c>
      <c r="BP544">
        <v>0</v>
      </c>
      <c r="BQ544">
        <v>0</v>
      </c>
      <c r="BR544">
        <v>0</v>
      </c>
      <c r="BS544">
        <v>0</v>
      </c>
      <c r="BT544">
        <v>0</v>
      </c>
      <c r="BU544">
        <v>0</v>
      </c>
      <c r="BV544">
        <v>0</v>
      </c>
      <c r="BW544">
        <v>0</v>
      </c>
      <c r="BX544">
        <v>0</v>
      </c>
      <c r="BY544">
        <v>0</v>
      </c>
      <c r="BZ544">
        <v>0</v>
      </c>
      <c r="CA544">
        <v>0</v>
      </c>
      <c r="CB544">
        <v>0</v>
      </c>
    </row>
    <row r="545" spans="1:80" x14ac:dyDescent="0.2">
      <c r="A545">
        <v>0</v>
      </c>
      <c r="B545">
        <v>0</v>
      </c>
      <c r="C545">
        <v>0</v>
      </c>
      <c r="D545">
        <v>0</v>
      </c>
      <c r="E545">
        <v>0</v>
      </c>
      <c r="F545">
        <v>0</v>
      </c>
      <c r="G545">
        <v>0</v>
      </c>
      <c r="H545">
        <v>0</v>
      </c>
      <c r="I545">
        <v>0</v>
      </c>
      <c r="J545">
        <v>0</v>
      </c>
      <c r="K545">
        <v>0</v>
      </c>
      <c r="L545">
        <v>0</v>
      </c>
      <c r="M545">
        <v>0</v>
      </c>
      <c r="N545">
        <v>0</v>
      </c>
      <c r="O545">
        <v>0</v>
      </c>
      <c r="P545">
        <v>0</v>
      </c>
      <c r="Q545">
        <v>0</v>
      </c>
      <c r="R545">
        <v>0</v>
      </c>
      <c r="S545">
        <v>0</v>
      </c>
      <c r="T545">
        <v>0</v>
      </c>
      <c r="U545">
        <v>0</v>
      </c>
      <c r="V545">
        <v>0</v>
      </c>
      <c r="W545">
        <v>0</v>
      </c>
      <c r="X545">
        <v>0</v>
      </c>
      <c r="Y545">
        <v>0</v>
      </c>
      <c r="Z545">
        <v>0</v>
      </c>
      <c r="AA545">
        <v>0</v>
      </c>
      <c r="AB545">
        <v>0</v>
      </c>
      <c r="AC545">
        <v>0</v>
      </c>
      <c r="AD545">
        <v>0</v>
      </c>
      <c r="AE545">
        <v>0</v>
      </c>
      <c r="AF545">
        <v>0</v>
      </c>
      <c r="AG545">
        <v>0</v>
      </c>
      <c r="AH545">
        <v>0</v>
      </c>
      <c r="AI545">
        <v>0</v>
      </c>
      <c r="AJ545">
        <v>0</v>
      </c>
      <c r="AK545">
        <v>0</v>
      </c>
      <c r="AL545">
        <v>0</v>
      </c>
      <c r="AM545">
        <v>0</v>
      </c>
      <c r="AN545">
        <v>0</v>
      </c>
      <c r="AO545">
        <v>0</v>
      </c>
      <c r="AP545">
        <v>0</v>
      </c>
      <c r="AQ545">
        <v>0</v>
      </c>
      <c r="AR545">
        <v>0</v>
      </c>
      <c r="AS545">
        <v>0</v>
      </c>
      <c r="AT545">
        <v>0</v>
      </c>
      <c r="AU545">
        <v>0</v>
      </c>
      <c r="AV545">
        <v>0</v>
      </c>
      <c r="AW545">
        <v>0</v>
      </c>
      <c r="AX545">
        <v>0</v>
      </c>
      <c r="AY545">
        <v>0</v>
      </c>
      <c r="AZ545">
        <v>0</v>
      </c>
      <c r="BA545">
        <v>0</v>
      </c>
      <c r="BB545">
        <v>0</v>
      </c>
      <c r="BC545">
        <v>0</v>
      </c>
      <c r="BD545">
        <v>0</v>
      </c>
      <c r="BE545">
        <v>0</v>
      </c>
      <c r="BF545">
        <v>0</v>
      </c>
      <c r="BG545">
        <v>0</v>
      </c>
      <c r="BH545">
        <v>0</v>
      </c>
      <c r="BI545">
        <v>0</v>
      </c>
      <c r="BJ545">
        <v>0</v>
      </c>
      <c r="BK545">
        <v>0</v>
      </c>
      <c r="BL545">
        <v>0</v>
      </c>
      <c r="BM545">
        <v>0</v>
      </c>
      <c r="BN545">
        <v>0</v>
      </c>
      <c r="BO545">
        <v>0</v>
      </c>
      <c r="BP545">
        <v>0</v>
      </c>
      <c r="BQ545">
        <v>0</v>
      </c>
      <c r="BR545">
        <v>0</v>
      </c>
      <c r="BS545">
        <v>0</v>
      </c>
      <c r="BT545">
        <v>0</v>
      </c>
      <c r="BU545">
        <v>0</v>
      </c>
      <c r="BV545">
        <v>0</v>
      </c>
      <c r="BW545">
        <v>0</v>
      </c>
      <c r="BX545">
        <v>0</v>
      </c>
      <c r="BY545">
        <v>0</v>
      </c>
      <c r="BZ545">
        <v>0</v>
      </c>
      <c r="CA545">
        <v>0</v>
      </c>
      <c r="CB545">
        <v>0</v>
      </c>
    </row>
    <row r="546" spans="1:80" x14ac:dyDescent="0.2">
      <c r="A546">
        <v>0</v>
      </c>
      <c r="B546">
        <v>0</v>
      </c>
      <c r="C546">
        <v>0</v>
      </c>
      <c r="D546">
        <v>0</v>
      </c>
      <c r="E546">
        <v>0</v>
      </c>
      <c r="F546">
        <v>0</v>
      </c>
      <c r="G546">
        <v>0</v>
      </c>
      <c r="H546">
        <v>0</v>
      </c>
      <c r="I546">
        <v>0</v>
      </c>
      <c r="J546">
        <v>0</v>
      </c>
      <c r="K546">
        <v>0</v>
      </c>
      <c r="L546">
        <v>0</v>
      </c>
      <c r="M546">
        <v>0</v>
      </c>
      <c r="N546">
        <v>0</v>
      </c>
      <c r="O546">
        <v>0</v>
      </c>
      <c r="P546">
        <v>0</v>
      </c>
      <c r="Q546">
        <v>0</v>
      </c>
      <c r="R546">
        <v>0</v>
      </c>
      <c r="S546">
        <v>0</v>
      </c>
      <c r="T546">
        <v>0</v>
      </c>
      <c r="U546">
        <v>0</v>
      </c>
      <c r="V546">
        <v>0</v>
      </c>
      <c r="W546">
        <v>0</v>
      </c>
      <c r="X546">
        <v>0</v>
      </c>
      <c r="Y546">
        <v>0</v>
      </c>
      <c r="Z546">
        <v>0</v>
      </c>
      <c r="AA546">
        <v>0</v>
      </c>
      <c r="AB546">
        <v>0</v>
      </c>
      <c r="AC546">
        <v>0</v>
      </c>
      <c r="AD546">
        <v>0</v>
      </c>
      <c r="AE546">
        <v>0</v>
      </c>
      <c r="AF546">
        <v>0</v>
      </c>
      <c r="AG546">
        <v>0</v>
      </c>
      <c r="AH546">
        <v>0</v>
      </c>
      <c r="AI546">
        <v>0</v>
      </c>
      <c r="AJ546">
        <v>0</v>
      </c>
      <c r="AK546">
        <v>0</v>
      </c>
      <c r="AL546">
        <v>0</v>
      </c>
      <c r="AM546">
        <v>0</v>
      </c>
      <c r="AN546">
        <v>0</v>
      </c>
      <c r="AO546">
        <v>0</v>
      </c>
      <c r="AP546">
        <v>0</v>
      </c>
      <c r="AQ546">
        <v>0</v>
      </c>
      <c r="AR546">
        <v>0</v>
      </c>
      <c r="AS546">
        <v>0</v>
      </c>
      <c r="AT546">
        <v>0</v>
      </c>
      <c r="AU546">
        <v>0</v>
      </c>
      <c r="AV546">
        <v>0</v>
      </c>
      <c r="AW546">
        <v>0</v>
      </c>
      <c r="AX546">
        <v>0</v>
      </c>
      <c r="AY546">
        <v>0</v>
      </c>
      <c r="AZ546">
        <v>0</v>
      </c>
      <c r="BA546">
        <v>0</v>
      </c>
      <c r="BB546">
        <v>0</v>
      </c>
      <c r="BC546">
        <v>0</v>
      </c>
      <c r="BD546">
        <v>0</v>
      </c>
      <c r="BE546">
        <v>0</v>
      </c>
      <c r="BF546">
        <v>0</v>
      </c>
      <c r="BG546">
        <v>0</v>
      </c>
      <c r="BH546">
        <v>0</v>
      </c>
      <c r="BI546">
        <v>0</v>
      </c>
      <c r="BJ546">
        <v>0</v>
      </c>
      <c r="BK546">
        <v>0</v>
      </c>
      <c r="BL546">
        <v>0</v>
      </c>
      <c r="BM546">
        <v>0</v>
      </c>
      <c r="BN546">
        <v>0</v>
      </c>
      <c r="BO546">
        <v>0</v>
      </c>
      <c r="BP546">
        <v>0</v>
      </c>
      <c r="BQ546">
        <v>0</v>
      </c>
      <c r="BR546">
        <v>0</v>
      </c>
      <c r="BS546">
        <v>0</v>
      </c>
      <c r="BT546">
        <v>0</v>
      </c>
      <c r="BU546">
        <v>0</v>
      </c>
      <c r="BV546">
        <v>0</v>
      </c>
      <c r="BW546">
        <v>0</v>
      </c>
      <c r="BX546">
        <v>0</v>
      </c>
      <c r="BY546">
        <v>0</v>
      </c>
      <c r="BZ546">
        <v>0</v>
      </c>
      <c r="CA546">
        <v>0</v>
      </c>
      <c r="CB546">
        <v>0</v>
      </c>
    </row>
    <row r="547" spans="1:80" x14ac:dyDescent="0.2">
      <c r="A547">
        <v>0</v>
      </c>
      <c r="B547">
        <v>0</v>
      </c>
      <c r="C547">
        <v>0</v>
      </c>
      <c r="D547">
        <v>0</v>
      </c>
      <c r="E547">
        <v>0</v>
      </c>
      <c r="F547">
        <v>0</v>
      </c>
      <c r="G547">
        <v>0</v>
      </c>
      <c r="H547">
        <v>0</v>
      </c>
      <c r="I547">
        <v>0</v>
      </c>
      <c r="J547">
        <v>0</v>
      </c>
      <c r="K547">
        <v>0</v>
      </c>
      <c r="L547">
        <v>0</v>
      </c>
      <c r="M547">
        <v>0</v>
      </c>
      <c r="N547">
        <v>0</v>
      </c>
      <c r="O547">
        <v>0</v>
      </c>
      <c r="P547">
        <v>0</v>
      </c>
      <c r="Q547">
        <v>0</v>
      </c>
      <c r="R547">
        <v>0</v>
      </c>
      <c r="S547">
        <v>0</v>
      </c>
      <c r="T547">
        <v>0</v>
      </c>
      <c r="U547">
        <v>0</v>
      </c>
      <c r="V547">
        <v>0</v>
      </c>
      <c r="W547">
        <v>0</v>
      </c>
      <c r="X547">
        <v>0</v>
      </c>
      <c r="Y547">
        <v>0</v>
      </c>
      <c r="Z547">
        <v>0</v>
      </c>
      <c r="AA547">
        <v>0</v>
      </c>
      <c r="AB547">
        <v>0</v>
      </c>
      <c r="AC547">
        <v>0</v>
      </c>
      <c r="AD547">
        <v>0</v>
      </c>
      <c r="AE547">
        <v>0</v>
      </c>
      <c r="AF547">
        <v>0</v>
      </c>
      <c r="AG547">
        <v>0</v>
      </c>
      <c r="AH547">
        <v>0</v>
      </c>
      <c r="AI547">
        <v>0</v>
      </c>
      <c r="AJ547">
        <v>0</v>
      </c>
      <c r="AK547">
        <v>0</v>
      </c>
      <c r="AL547">
        <v>0</v>
      </c>
      <c r="AM547">
        <v>0</v>
      </c>
      <c r="AN547">
        <v>0</v>
      </c>
      <c r="AO547">
        <v>0</v>
      </c>
      <c r="AP547">
        <v>0</v>
      </c>
      <c r="AQ547">
        <v>0</v>
      </c>
      <c r="AR547">
        <v>0</v>
      </c>
      <c r="AS547">
        <v>0</v>
      </c>
      <c r="AT547">
        <v>0</v>
      </c>
      <c r="AU547">
        <v>0</v>
      </c>
      <c r="AV547">
        <v>0</v>
      </c>
      <c r="AW547">
        <v>0</v>
      </c>
      <c r="AX547">
        <v>0</v>
      </c>
      <c r="AY547">
        <v>0</v>
      </c>
      <c r="AZ547">
        <v>0</v>
      </c>
      <c r="BA547">
        <v>0</v>
      </c>
      <c r="BB547">
        <v>0</v>
      </c>
      <c r="BC547">
        <v>0</v>
      </c>
      <c r="BD547">
        <v>0</v>
      </c>
      <c r="BE547">
        <v>0</v>
      </c>
      <c r="BF547">
        <v>0</v>
      </c>
      <c r="BG547">
        <v>0</v>
      </c>
      <c r="BH547">
        <v>0</v>
      </c>
      <c r="BI547">
        <v>0</v>
      </c>
      <c r="BJ547">
        <v>0</v>
      </c>
      <c r="BK547">
        <v>0</v>
      </c>
      <c r="BL547">
        <v>0</v>
      </c>
      <c r="BM547">
        <v>0</v>
      </c>
      <c r="BN547">
        <v>0</v>
      </c>
      <c r="BO547">
        <v>0</v>
      </c>
      <c r="BP547">
        <v>0</v>
      </c>
      <c r="BQ547">
        <v>0</v>
      </c>
      <c r="BR547">
        <v>0</v>
      </c>
      <c r="BS547">
        <v>0</v>
      </c>
      <c r="BT547">
        <v>0</v>
      </c>
      <c r="BU547">
        <v>0</v>
      </c>
      <c r="BV547">
        <v>0</v>
      </c>
      <c r="BW547">
        <v>0</v>
      </c>
      <c r="BX547">
        <v>0</v>
      </c>
      <c r="BY547">
        <v>0</v>
      </c>
      <c r="BZ547">
        <v>0</v>
      </c>
      <c r="CA547">
        <v>0</v>
      </c>
      <c r="CB547">
        <v>0</v>
      </c>
    </row>
    <row r="548" spans="1:80" x14ac:dyDescent="0.2">
      <c r="A548">
        <v>0</v>
      </c>
      <c r="B548">
        <v>0</v>
      </c>
      <c r="C548">
        <v>0</v>
      </c>
      <c r="D548">
        <v>0</v>
      </c>
      <c r="E548">
        <v>0</v>
      </c>
      <c r="F548">
        <v>0</v>
      </c>
      <c r="G548">
        <v>0</v>
      </c>
      <c r="H548">
        <v>0</v>
      </c>
      <c r="I548">
        <v>0</v>
      </c>
      <c r="J548">
        <v>0</v>
      </c>
      <c r="K548">
        <v>0</v>
      </c>
      <c r="L548">
        <v>0</v>
      </c>
      <c r="M548">
        <v>0</v>
      </c>
      <c r="N548">
        <v>0</v>
      </c>
      <c r="O548">
        <v>0</v>
      </c>
      <c r="P548">
        <v>0</v>
      </c>
      <c r="Q548">
        <v>0</v>
      </c>
      <c r="R548">
        <v>0</v>
      </c>
      <c r="S548">
        <v>0</v>
      </c>
      <c r="T548">
        <v>0</v>
      </c>
      <c r="U548">
        <v>0</v>
      </c>
      <c r="V548">
        <v>0</v>
      </c>
      <c r="W548">
        <v>0</v>
      </c>
      <c r="X548">
        <v>0</v>
      </c>
      <c r="Y548">
        <v>0</v>
      </c>
      <c r="Z548">
        <v>0</v>
      </c>
      <c r="AA548">
        <v>0</v>
      </c>
      <c r="AB548">
        <v>0</v>
      </c>
      <c r="AC548">
        <v>0</v>
      </c>
      <c r="AD548">
        <v>0</v>
      </c>
      <c r="AE548">
        <v>0</v>
      </c>
      <c r="AF548">
        <v>0</v>
      </c>
      <c r="AG548">
        <v>0</v>
      </c>
      <c r="AH548">
        <v>0</v>
      </c>
      <c r="AI548">
        <v>0</v>
      </c>
      <c r="AJ548">
        <v>0</v>
      </c>
      <c r="AK548">
        <v>0</v>
      </c>
      <c r="AL548">
        <v>0</v>
      </c>
      <c r="AM548">
        <v>0</v>
      </c>
      <c r="AN548">
        <v>0</v>
      </c>
      <c r="AO548">
        <v>0</v>
      </c>
      <c r="AP548">
        <v>0</v>
      </c>
      <c r="AQ548">
        <v>0</v>
      </c>
      <c r="AR548">
        <v>0</v>
      </c>
      <c r="AS548">
        <v>0</v>
      </c>
      <c r="AT548">
        <v>0</v>
      </c>
      <c r="AU548">
        <v>0</v>
      </c>
      <c r="AV548">
        <v>0</v>
      </c>
      <c r="AW548">
        <v>0</v>
      </c>
      <c r="AX548">
        <v>0</v>
      </c>
      <c r="AY548">
        <v>0</v>
      </c>
      <c r="AZ548">
        <v>0</v>
      </c>
      <c r="BA548">
        <v>0</v>
      </c>
      <c r="BB548">
        <v>0</v>
      </c>
      <c r="BC548">
        <v>0</v>
      </c>
      <c r="BD548">
        <v>0</v>
      </c>
      <c r="BE548">
        <v>0</v>
      </c>
      <c r="BF548">
        <v>0</v>
      </c>
      <c r="BG548">
        <v>0</v>
      </c>
      <c r="BH548">
        <v>0</v>
      </c>
      <c r="BI548">
        <v>0</v>
      </c>
      <c r="BJ548">
        <v>0</v>
      </c>
      <c r="BK548">
        <v>0</v>
      </c>
      <c r="BL548">
        <v>0</v>
      </c>
      <c r="BM548">
        <v>0</v>
      </c>
      <c r="BN548">
        <v>0</v>
      </c>
      <c r="BO548">
        <v>0</v>
      </c>
      <c r="BP548">
        <v>0</v>
      </c>
      <c r="BQ548">
        <v>0</v>
      </c>
      <c r="BR548">
        <v>0</v>
      </c>
      <c r="BS548">
        <v>0</v>
      </c>
      <c r="BT548">
        <v>0</v>
      </c>
      <c r="BU548">
        <v>0</v>
      </c>
      <c r="BV548">
        <v>0</v>
      </c>
      <c r="BW548">
        <v>0</v>
      </c>
      <c r="BX548">
        <v>0</v>
      </c>
      <c r="BY548">
        <v>0</v>
      </c>
      <c r="BZ548">
        <v>0</v>
      </c>
      <c r="CA548">
        <v>0</v>
      </c>
      <c r="CB548">
        <v>0</v>
      </c>
    </row>
    <row r="549" spans="1:80" x14ac:dyDescent="0.2">
      <c r="A549">
        <v>0</v>
      </c>
      <c r="B549">
        <v>0</v>
      </c>
      <c r="C549">
        <v>0</v>
      </c>
      <c r="D549">
        <v>0</v>
      </c>
      <c r="E549">
        <v>0</v>
      </c>
      <c r="F549">
        <v>0</v>
      </c>
      <c r="G549">
        <v>0</v>
      </c>
      <c r="H549">
        <v>0</v>
      </c>
      <c r="I549">
        <v>0</v>
      </c>
      <c r="J549">
        <v>0</v>
      </c>
      <c r="K549">
        <v>0</v>
      </c>
      <c r="L549">
        <v>0</v>
      </c>
      <c r="M549">
        <v>0</v>
      </c>
      <c r="N549">
        <v>0</v>
      </c>
      <c r="O549">
        <v>0</v>
      </c>
      <c r="P549">
        <v>0</v>
      </c>
      <c r="Q549">
        <v>0</v>
      </c>
      <c r="R549">
        <v>0</v>
      </c>
      <c r="S549">
        <v>0</v>
      </c>
      <c r="T549">
        <v>0</v>
      </c>
      <c r="U549">
        <v>0</v>
      </c>
      <c r="V549">
        <v>0</v>
      </c>
      <c r="W549">
        <v>0</v>
      </c>
      <c r="X549">
        <v>0</v>
      </c>
      <c r="Y549">
        <v>0</v>
      </c>
      <c r="Z549">
        <v>0</v>
      </c>
      <c r="AA549">
        <v>0</v>
      </c>
      <c r="AB549">
        <v>0</v>
      </c>
      <c r="AC549">
        <v>0</v>
      </c>
      <c r="AD549">
        <v>0</v>
      </c>
      <c r="AE549">
        <v>0</v>
      </c>
      <c r="AF549">
        <v>0</v>
      </c>
      <c r="AG549">
        <v>0</v>
      </c>
      <c r="AH549">
        <v>0</v>
      </c>
      <c r="AI549">
        <v>0</v>
      </c>
      <c r="AJ549">
        <v>0</v>
      </c>
      <c r="AK549">
        <v>0</v>
      </c>
      <c r="AL549">
        <v>0</v>
      </c>
      <c r="AM549">
        <v>0</v>
      </c>
      <c r="AN549">
        <v>0</v>
      </c>
      <c r="AO549">
        <v>0</v>
      </c>
      <c r="AP549">
        <v>0</v>
      </c>
      <c r="AQ549">
        <v>0</v>
      </c>
      <c r="AR549">
        <v>0</v>
      </c>
      <c r="AS549">
        <v>0</v>
      </c>
      <c r="AT549">
        <v>0</v>
      </c>
      <c r="AU549">
        <v>0</v>
      </c>
      <c r="AV549">
        <v>0</v>
      </c>
      <c r="AW549">
        <v>0</v>
      </c>
      <c r="AX549">
        <v>0</v>
      </c>
      <c r="AY549">
        <v>0</v>
      </c>
      <c r="AZ549">
        <v>0</v>
      </c>
      <c r="BA549">
        <v>0</v>
      </c>
      <c r="BB549">
        <v>0</v>
      </c>
      <c r="BC549">
        <v>0</v>
      </c>
      <c r="BD549">
        <v>0</v>
      </c>
      <c r="BE549">
        <v>0</v>
      </c>
      <c r="BF549">
        <v>0</v>
      </c>
      <c r="BG549">
        <v>0</v>
      </c>
      <c r="BH549">
        <v>0</v>
      </c>
      <c r="BI549">
        <v>0</v>
      </c>
      <c r="BJ549">
        <v>0</v>
      </c>
      <c r="BK549">
        <v>0</v>
      </c>
      <c r="BL549">
        <v>0</v>
      </c>
      <c r="BM549">
        <v>0</v>
      </c>
      <c r="BN549">
        <v>0</v>
      </c>
      <c r="BO549">
        <v>0</v>
      </c>
      <c r="BP549">
        <v>0</v>
      </c>
      <c r="BQ549">
        <v>0</v>
      </c>
      <c r="BR549">
        <v>0</v>
      </c>
      <c r="BS549">
        <v>0</v>
      </c>
      <c r="BT549">
        <v>0</v>
      </c>
      <c r="BU549">
        <v>0</v>
      </c>
      <c r="BV549">
        <v>0</v>
      </c>
      <c r="BW549">
        <v>0</v>
      </c>
      <c r="BX549">
        <v>0</v>
      </c>
      <c r="BY549">
        <v>0</v>
      </c>
      <c r="BZ549">
        <v>0</v>
      </c>
      <c r="CA549">
        <v>0</v>
      </c>
      <c r="CB549">
        <v>0</v>
      </c>
    </row>
    <row r="550" spans="1:80" x14ac:dyDescent="0.2">
      <c r="A550">
        <v>0</v>
      </c>
      <c r="B550">
        <v>0</v>
      </c>
      <c r="C550">
        <v>0</v>
      </c>
      <c r="D550">
        <v>0</v>
      </c>
      <c r="E550">
        <v>0</v>
      </c>
      <c r="F550">
        <v>0</v>
      </c>
      <c r="G550">
        <v>0</v>
      </c>
      <c r="H550">
        <v>0</v>
      </c>
      <c r="I550">
        <v>0</v>
      </c>
      <c r="J550">
        <v>0</v>
      </c>
      <c r="K550">
        <v>0</v>
      </c>
      <c r="L550">
        <v>0</v>
      </c>
      <c r="M550">
        <v>0</v>
      </c>
      <c r="N550">
        <v>0</v>
      </c>
      <c r="O550">
        <v>0</v>
      </c>
      <c r="P550">
        <v>0</v>
      </c>
      <c r="Q550">
        <v>0</v>
      </c>
      <c r="R550">
        <v>0</v>
      </c>
      <c r="S550">
        <v>0</v>
      </c>
      <c r="T550">
        <v>0</v>
      </c>
      <c r="U550">
        <v>0</v>
      </c>
      <c r="V550">
        <v>0</v>
      </c>
      <c r="W550">
        <v>0</v>
      </c>
      <c r="X550">
        <v>0</v>
      </c>
      <c r="Y550">
        <v>0</v>
      </c>
      <c r="Z550">
        <v>0</v>
      </c>
      <c r="AA550">
        <v>0</v>
      </c>
      <c r="AB550">
        <v>0</v>
      </c>
      <c r="AC550">
        <v>0</v>
      </c>
      <c r="AD550">
        <v>0</v>
      </c>
      <c r="AE550">
        <v>0</v>
      </c>
      <c r="AF550">
        <v>0</v>
      </c>
      <c r="AG550">
        <v>0</v>
      </c>
      <c r="AH550">
        <v>0</v>
      </c>
      <c r="AI550">
        <v>0</v>
      </c>
      <c r="AJ550">
        <v>0</v>
      </c>
      <c r="AK550">
        <v>0</v>
      </c>
      <c r="AL550">
        <v>0</v>
      </c>
      <c r="AM550">
        <v>0</v>
      </c>
      <c r="AN550">
        <v>0</v>
      </c>
      <c r="AO550">
        <v>0</v>
      </c>
      <c r="AP550">
        <v>0</v>
      </c>
      <c r="AQ550">
        <v>0</v>
      </c>
      <c r="AR550">
        <v>0</v>
      </c>
      <c r="AS550">
        <v>0</v>
      </c>
      <c r="AT550">
        <v>0</v>
      </c>
      <c r="AU550">
        <v>0</v>
      </c>
      <c r="AV550">
        <v>0</v>
      </c>
      <c r="AW550">
        <v>0</v>
      </c>
      <c r="AX550">
        <v>0</v>
      </c>
      <c r="AY550">
        <v>0</v>
      </c>
      <c r="AZ550">
        <v>0</v>
      </c>
      <c r="BA550">
        <v>0</v>
      </c>
      <c r="BB550">
        <v>0</v>
      </c>
      <c r="BC550">
        <v>0</v>
      </c>
      <c r="BD550">
        <v>0</v>
      </c>
      <c r="BE550">
        <v>0</v>
      </c>
      <c r="BF550">
        <v>0</v>
      </c>
      <c r="BG550">
        <v>0</v>
      </c>
      <c r="BH550">
        <v>0</v>
      </c>
      <c r="BI550">
        <v>0</v>
      </c>
      <c r="BJ550">
        <v>0</v>
      </c>
      <c r="BK550">
        <v>0</v>
      </c>
      <c r="BL550">
        <v>0</v>
      </c>
      <c r="BM550">
        <v>0</v>
      </c>
      <c r="BN550">
        <v>0</v>
      </c>
      <c r="BO550">
        <v>0</v>
      </c>
      <c r="BP550">
        <v>0</v>
      </c>
      <c r="BQ550">
        <v>0</v>
      </c>
      <c r="BR550">
        <v>0</v>
      </c>
      <c r="BS550">
        <v>0</v>
      </c>
      <c r="BT550">
        <v>0</v>
      </c>
      <c r="BU550">
        <v>0</v>
      </c>
      <c r="BV550">
        <v>0</v>
      </c>
      <c r="BW550">
        <v>0</v>
      </c>
      <c r="BX550">
        <v>0</v>
      </c>
      <c r="BY550">
        <v>0</v>
      </c>
      <c r="BZ550">
        <v>0</v>
      </c>
      <c r="CA550">
        <v>0</v>
      </c>
      <c r="CB550">
        <v>0</v>
      </c>
    </row>
    <row r="551" spans="1:80" x14ac:dyDescent="0.2">
      <c r="A551">
        <v>0</v>
      </c>
      <c r="B551">
        <v>0</v>
      </c>
      <c r="C551">
        <v>0</v>
      </c>
      <c r="D551">
        <v>0</v>
      </c>
      <c r="E551">
        <v>0</v>
      </c>
      <c r="F551">
        <v>0</v>
      </c>
      <c r="G551">
        <v>0</v>
      </c>
      <c r="H551">
        <v>0</v>
      </c>
      <c r="I551">
        <v>0</v>
      </c>
      <c r="J551">
        <v>0</v>
      </c>
      <c r="K551">
        <v>0</v>
      </c>
      <c r="L551">
        <v>0</v>
      </c>
      <c r="M551">
        <v>0</v>
      </c>
      <c r="N551">
        <v>0</v>
      </c>
      <c r="O551">
        <v>0</v>
      </c>
      <c r="P551">
        <v>0</v>
      </c>
      <c r="Q551">
        <v>0</v>
      </c>
      <c r="R551">
        <v>0</v>
      </c>
      <c r="S551">
        <v>0</v>
      </c>
      <c r="T551">
        <v>0</v>
      </c>
      <c r="U551">
        <v>0</v>
      </c>
      <c r="V551">
        <v>0</v>
      </c>
      <c r="W551">
        <v>0</v>
      </c>
      <c r="X551">
        <v>0</v>
      </c>
      <c r="Y551">
        <v>0</v>
      </c>
      <c r="Z551">
        <v>0</v>
      </c>
      <c r="AA551">
        <v>0</v>
      </c>
      <c r="AB551">
        <v>0</v>
      </c>
      <c r="AC551">
        <v>0</v>
      </c>
      <c r="AD551">
        <v>0</v>
      </c>
      <c r="AE551">
        <v>0</v>
      </c>
      <c r="AF551">
        <v>0</v>
      </c>
      <c r="AG551">
        <v>0</v>
      </c>
      <c r="AH551">
        <v>0</v>
      </c>
      <c r="AI551">
        <v>0</v>
      </c>
      <c r="AJ551">
        <v>0</v>
      </c>
      <c r="AK551">
        <v>0</v>
      </c>
      <c r="AL551">
        <v>0</v>
      </c>
      <c r="AM551">
        <v>0</v>
      </c>
      <c r="AN551">
        <v>0</v>
      </c>
      <c r="AO551">
        <v>0</v>
      </c>
      <c r="AP551">
        <v>0</v>
      </c>
      <c r="AQ551">
        <v>0</v>
      </c>
      <c r="AR551">
        <v>0</v>
      </c>
      <c r="AS551">
        <v>0</v>
      </c>
      <c r="AT551">
        <v>0</v>
      </c>
      <c r="AU551">
        <v>0</v>
      </c>
      <c r="AV551">
        <v>0</v>
      </c>
      <c r="AW551">
        <v>0</v>
      </c>
      <c r="AX551">
        <v>0</v>
      </c>
      <c r="AY551">
        <v>0</v>
      </c>
      <c r="AZ551">
        <v>0</v>
      </c>
      <c r="BA551">
        <v>0</v>
      </c>
      <c r="BB551">
        <v>0</v>
      </c>
      <c r="BC551">
        <v>0</v>
      </c>
      <c r="BD551">
        <v>0</v>
      </c>
      <c r="BE551">
        <v>0</v>
      </c>
      <c r="BF551">
        <v>0</v>
      </c>
      <c r="BG551">
        <v>0</v>
      </c>
      <c r="BH551">
        <v>0</v>
      </c>
      <c r="BI551">
        <v>0</v>
      </c>
      <c r="BJ551">
        <v>0</v>
      </c>
      <c r="BK551">
        <v>0</v>
      </c>
      <c r="BL551">
        <v>0</v>
      </c>
      <c r="BM551">
        <v>0</v>
      </c>
      <c r="BN551">
        <v>0</v>
      </c>
      <c r="BO551">
        <v>0</v>
      </c>
      <c r="BP551">
        <v>0</v>
      </c>
      <c r="BQ551">
        <v>0</v>
      </c>
      <c r="BR551">
        <v>0</v>
      </c>
      <c r="BS551">
        <v>0</v>
      </c>
      <c r="BT551">
        <v>0</v>
      </c>
      <c r="BU551">
        <v>0</v>
      </c>
      <c r="BV551">
        <v>0</v>
      </c>
      <c r="BW551">
        <v>0</v>
      </c>
      <c r="BX551">
        <v>0</v>
      </c>
      <c r="BY551">
        <v>0</v>
      </c>
      <c r="BZ551">
        <v>0</v>
      </c>
      <c r="CA551">
        <v>0</v>
      </c>
      <c r="CB551">
        <v>0</v>
      </c>
    </row>
    <row r="552" spans="1:80" x14ac:dyDescent="0.2">
      <c r="A552">
        <v>0</v>
      </c>
      <c r="B552">
        <v>0</v>
      </c>
      <c r="C552">
        <v>0</v>
      </c>
      <c r="D552">
        <v>0</v>
      </c>
      <c r="E552">
        <v>0</v>
      </c>
      <c r="F552">
        <v>0</v>
      </c>
      <c r="G552">
        <v>0</v>
      </c>
      <c r="H552">
        <v>0</v>
      </c>
      <c r="I552">
        <v>0</v>
      </c>
      <c r="J552">
        <v>0</v>
      </c>
      <c r="K552">
        <v>0</v>
      </c>
      <c r="L552">
        <v>0</v>
      </c>
      <c r="M552">
        <v>0</v>
      </c>
      <c r="N552">
        <v>0</v>
      </c>
      <c r="O552">
        <v>0</v>
      </c>
      <c r="P552">
        <v>0</v>
      </c>
      <c r="Q552">
        <v>0</v>
      </c>
      <c r="R552">
        <v>0</v>
      </c>
      <c r="S552">
        <v>0</v>
      </c>
      <c r="T552">
        <v>0</v>
      </c>
      <c r="U552">
        <v>0</v>
      </c>
      <c r="V552">
        <v>0</v>
      </c>
      <c r="W552">
        <v>0</v>
      </c>
      <c r="X552">
        <v>0</v>
      </c>
      <c r="Y552">
        <v>0</v>
      </c>
      <c r="Z552">
        <v>0</v>
      </c>
      <c r="AA552">
        <v>0</v>
      </c>
      <c r="AB552">
        <v>0</v>
      </c>
      <c r="AC552">
        <v>0</v>
      </c>
      <c r="AD552">
        <v>0</v>
      </c>
      <c r="AE552">
        <v>0</v>
      </c>
      <c r="AF552">
        <v>0</v>
      </c>
      <c r="AG552">
        <v>0</v>
      </c>
      <c r="AH552">
        <v>0</v>
      </c>
      <c r="AI552">
        <v>0</v>
      </c>
      <c r="AJ552">
        <v>0</v>
      </c>
      <c r="AK552">
        <v>0</v>
      </c>
      <c r="AL552">
        <v>0</v>
      </c>
      <c r="AM552">
        <v>0</v>
      </c>
      <c r="AN552">
        <v>0</v>
      </c>
      <c r="AO552">
        <v>0</v>
      </c>
      <c r="AP552">
        <v>0</v>
      </c>
      <c r="AQ552">
        <v>0</v>
      </c>
      <c r="AR552">
        <v>0</v>
      </c>
      <c r="AS552">
        <v>0</v>
      </c>
      <c r="AT552">
        <v>0</v>
      </c>
      <c r="AU552">
        <v>0</v>
      </c>
      <c r="AV552">
        <v>0</v>
      </c>
      <c r="AW552">
        <v>0</v>
      </c>
      <c r="AX552">
        <v>0</v>
      </c>
      <c r="AY552">
        <v>0</v>
      </c>
      <c r="AZ552">
        <v>0</v>
      </c>
      <c r="BA552">
        <v>0</v>
      </c>
      <c r="BB552">
        <v>0</v>
      </c>
      <c r="BC552">
        <v>0</v>
      </c>
      <c r="BD552">
        <v>0</v>
      </c>
      <c r="BE552">
        <v>0</v>
      </c>
      <c r="BF552">
        <v>0</v>
      </c>
      <c r="BG552">
        <v>0</v>
      </c>
      <c r="BH552">
        <v>0</v>
      </c>
      <c r="BI552">
        <v>0</v>
      </c>
      <c r="BJ552">
        <v>0</v>
      </c>
      <c r="BK552">
        <v>0</v>
      </c>
      <c r="BL552">
        <v>0</v>
      </c>
      <c r="BM552">
        <v>0</v>
      </c>
      <c r="BN552">
        <v>0</v>
      </c>
      <c r="BO552">
        <v>0</v>
      </c>
      <c r="BP552">
        <v>0</v>
      </c>
      <c r="BQ552">
        <v>0</v>
      </c>
      <c r="BR552">
        <v>0</v>
      </c>
      <c r="BS552">
        <v>0</v>
      </c>
      <c r="BT552">
        <v>0</v>
      </c>
      <c r="BU552">
        <v>0</v>
      </c>
      <c r="BV552">
        <v>0</v>
      </c>
      <c r="BW552">
        <v>0</v>
      </c>
      <c r="BX552">
        <v>0</v>
      </c>
      <c r="BY552">
        <v>0</v>
      </c>
      <c r="BZ552">
        <v>0</v>
      </c>
      <c r="CA552">
        <v>0</v>
      </c>
      <c r="CB552">
        <v>0</v>
      </c>
    </row>
    <row r="553" spans="1:80" x14ac:dyDescent="0.2">
      <c r="A553">
        <v>0</v>
      </c>
      <c r="B553">
        <v>0</v>
      </c>
      <c r="C553">
        <v>0</v>
      </c>
      <c r="D553">
        <v>0</v>
      </c>
      <c r="E553">
        <v>0</v>
      </c>
      <c r="F553">
        <v>0</v>
      </c>
      <c r="G553">
        <v>0</v>
      </c>
      <c r="H553">
        <v>0</v>
      </c>
      <c r="I553">
        <v>0</v>
      </c>
      <c r="J553">
        <v>0</v>
      </c>
      <c r="K553">
        <v>0</v>
      </c>
      <c r="L553">
        <v>0</v>
      </c>
      <c r="M553">
        <v>0</v>
      </c>
      <c r="N553">
        <v>0</v>
      </c>
      <c r="O553">
        <v>0</v>
      </c>
      <c r="P553">
        <v>0</v>
      </c>
      <c r="Q553">
        <v>0</v>
      </c>
      <c r="R553">
        <v>0</v>
      </c>
      <c r="S553">
        <v>0</v>
      </c>
      <c r="T553">
        <v>0</v>
      </c>
      <c r="U553">
        <v>0</v>
      </c>
      <c r="V553">
        <v>0</v>
      </c>
      <c r="W553">
        <v>0</v>
      </c>
      <c r="X553">
        <v>0</v>
      </c>
      <c r="Y553">
        <v>0</v>
      </c>
      <c r="Z553">
        <v>0</v>
      </c>
      <c r="AA553">
        <v>0</v>
      </c>
      <c r="AB553">
        <v>0</v>
      </c>
      <c r="AC553">
        <v>0</v>
      </c>
      <c r="AD553">
        <v>0</v>
      </c>
      <c r="AE553">
        <v>0</v>
      </c>
      <c r="AF553">
        <v>0</v>
      </c>
      <c r="AG553">
        <v>0</v>
      </c>
      <c r="AH553">
        <v>0</v>
      </c>
      <c r="AI553">
        <v>0</v>
      </c>
      <c r="AJ553">
        <v>0</v>
      </c>
      <c r="AK553">
        <v>0</v>
      </c>
      <c r="AL553">
        <v>0</v>
      </c>
      <c r="AM553">
        <v>0</v>
      </c>
      <c r="AN553">
        <v>0</v>
      </c>
      <c r="AO553">
        <v>0</v>
      </c>
      <c r="AP553">
        <v>0</v>
      </c>
      <c r="AQ553">
        <v>0</v>
      </c>
      <c r="AR553">
        <v>0</v>
      </c>
      <c r="AS553">
        <v>0</v>
      </c>
      <c r="AT553">
        <v>0</v>
      </c>
      <c r="AU553">
        <v>0</v>
      </c>
      <c r="AV553">
        <v>0</v>
      </c>
      <c r="AW553">
        <v>0</v>
      </c>
      <c r="AX553">
        <v>0</v>
      </c>
      <c r="AY553">
        <v>0</v>
      </c>
      <c r="AZ553">
        <v>0</v>
      </c>
      <c r="BA553">
        <v>0</v>
      </c>
      <c r="BB553">
        <v>0</v>
      </c>
      <c r="BC553">
        <v>0</v>
      </c>
      <c r="BD553">
        <v>0</v>
      </c>
      <c r="BE553">
        <v>0</v>
      </c>
      <c r="BF553">
        <v>0</v>
      </c>
      <c r="BG553">
        <v>0</v>
      </c>
      <c r="BH553">
        <v>0</v>
      </c>
      <c r="BI553">
        <v>0</v>
      </c>
      <c r="BJ553">
        <v>0</v>
      </c>
      <c r="BK553">
        <v>0</v>
      </c>
      <c r="BL553">
        <v>0</v>
      </c>
      <c r="BM553">
        <v>0</v>
      </c>
      <c r="BN553">
        <v>0</v>
      </c>
      <c r="BO553">
        <v>0</v>
      </c>
      <c r="BP553">
        <v>0</v>
      </c>
      <c r="BQ553">
        <v>0</v>
      </c>
      <c r="BR553">
        <v>0</v>
      </c>
      <c r="BS553">
        <v>0</v>
      </c>
      <c r="BT553">
        <v>0</v>
      </c>
      <c r="BU553">
        <v>0</v>
      </c>
      <c r="BV553">
        <v>0</v>
      </c>
      <c r="BW553">
        <v>0</v>
      </c>
      <c r="BX553">
        <v>0</v>
      </c>
      <c r="BY553">
        <v>0</v>
      </c>
      <c r="BZ553">
        <v>0</v>
      </c>
      <c r="CA553">
        <v>0</v>
      </c>
      <c r="CB553">
        <v>0</v>
      </c>
    </row>
    <row r="554" spans="1:80" x14ac:dyDescent="0.2">
      <c r="A554">
        <v>0</v>
      </c>
      <c r="B554">
        <v>0</v>
      </c>
      <c r="C554">
        <v>0</v>
      </c>
      <c r="D554">
        <v>0</v>
      </c>
      <c r="E554">
        <v>0</v>
      </c>
      <c r="F554">
        <v>0</v>
      </c>
      <c r="G554">
        <v>0</v>
      </c>
      <c r="H554">
        <v>0</v>
      </c>
      <c r="I554">
        <v>0</v>
      </c>
      <c r="J554">
        <v>0</v>
      </c>
      <c r="K554">
        <v>0</v>
      </c>
      <c r="L554">
        <v>0</v>
      </c>
      <c r="M554">
        <v>0</v>
      </c>
      <c r="N554">
        <v>0</v>
      </c>
      <c r="O554">
        <v>0</v>
      </c>
      <c r="P554">
        <v>0</v>
      </c>
      <c r="Q554">
        <v>0</v>
      </c>
      <c r="R554">
        <v>0</v>
      </c>
      <c r="S554">
        <v>0</v>
      </c>
      <c r="T554">
        <v>0</v>
      </c>
      <c r="U554">
        <v>0</v>
      </c>
      <c r="V554">
        <v>0</v>
      </c>
      <c r="W554">
        <v>0</v>
      </c>
      <c r="X554">
        <v>0</v>
      </c>
      <c r="Y554">
        <v>0</v>
      </c>
      <c r="Z554">
        <v>0</v>
      </c>
      <c r="AA554">
        <v>0</v>
      </c>
      <c r="AB554">
        <v>0</v>
      </c>
      <c r="AC554">
        <v>0</v>
      </c>
      <c r="AD554">
        <v>0</v>
      </c>
      <c r="AE554">
        <v>0</v>
      </c>
      <c r="AF554">
        <v>0</v>
      </c>
      <c r="AG554">
        <v>0</v>
      </c>
      <c r="AH554">
        <v>0</v>
      </c>
      <c r="AI554">
        <v>0</v>
      </c>
      <c r="AJ554">
        <v>0</v>
      </c>
      <c r="AK554">
        <v>0</v>
      </c>
      <c r="AL554">
        <v>0</v>
      </c>
      <c r="AM554">
        <v>0</v>
      </c>
      <c r="AN554">
        <v>0</v>
      </c>
      <c r="AO554">
        <v>0</v>
      </c>
      <c r="AP554">
        <v>0</v>
      </c>
      <c r="AQ554">
        <v>0</v>
      </c>
      <c r="AR554">
        <v>0</v>
      </c>
      <c r="AS554">
        <v>0</v>
      </c>
      <c r="AT554">
        <v>0</v>
      </c>
      <c r="AU554">
        <v>0</v>
      </c>
      <c r="AV554">
        <v>0</v>
      </c>
      <c r="AW554">
        <v>0</v>
      </c>
      <c r="AX554">
        <v>0</v>
      </c>
      <c r="AY554">
        <v>0</v>
      </c>
      <c r="AZ554">
        <v>0</v>
      </c>
      <c r="BA554">
        <v>0</v>
      </c>
      <c r="BB554">
        <v>0</v>
      </c>
      <c r="BC554">
        <v>0</v>
      </c>
      <c r="BD554">
        <v>0</v>
      </c>
      <c r="BE554">
        <v>0</v>
      </c>
      <c r="BF554">
        <v>0</v>
      </c>
      <c r="BG554">
        <v>0</v>
      </c>
      <c r="BH554">
        <v>0</v>
      </c>
      <c r="BI554">
        <v>0</v>
      </c>
      <c r="BJ554">
        <v>0</v>
      </c>
      <c r="BK554">
        <v>0</v>
      </c>
      <c r="BL554">
        <v>0</v>
      </c>
      <c r="BM554">
        <v>0</v>
      </c>
      <c r="BN554">
        <v>0</v>
      </c>
      <c r="BO554">
        <v>0</v>
      </c>
      <c r="BP554">
        <v>0</v>
      </c>
      <c r="BQ554">
        <v>0</v>
      </c>
      <c r="BR554">
        <v>0</v>
      </c>
      <c r="BS554">
        <v>0</v>
      </c>
      <c r="BT554">
        <v>0</v>
      </c>
      <c r="BU554">
        <v>0</v>
      </c>
      <c r="BV554">
        <v>0</v>
      </c>
      <c r="BW554">
        <v>0</v>
      </c>
      <c r="BX554">
        <v>0</v>
      </c>
      <c r="BY554">
        <v>0</v>
      </c>
      <c r="BZ554">
        <v>0</v>
      </c>
      <c r="CA554">
        <v>0</v>
      </c>
      <c r="CB554">
        <v>0</v>
      </c>
    </row>
    <row r="555" spans="1:80" x14ac:dyDescent="0.2">
      <c r="A555">
        <v>0</v>
      </c>
      <c r="B555">
        <v>0</v>
      </c>
      <c r="C555">
        <v>0</v>
      </c>
      <c r="D555">
        <v>0</v>
      </c>
      <c r="E555">
        <v>0</v>
      </c>
      <c r="F555">
        <v>0</v>
      </c>
      <c r="G555">
        <v>0</v>
      </c>
      <c r="H555">
        <v>0</v>
      </c>
      <c r="I555">
        <v>0</v>
      </c>
      <c r="J555">
        <v>0</v>
      </c>
      <c r="K555">
        <v>0</v>
      </c>
      <c r="L555">
        <v>0</v>
      </c>
      <c r="M555">
        <v>0</v>
      </c>
      <c r="N555">
        <v>0</v>
      </c>
      <c r="O555">
        <v>0</v>
      </c>
      <c r="P555">
        <v>0</v>
      </c>
      <c r="Q555">
        <v>0</v>
      </c>
      <c r="R555">
        <v>0</v>
      </c>
      <c r="S555">
        <v>0</v>
      </c>
      <c r="T555">
        <v>0</v>
      </c>
      <c r="U555">
        <v>0</v>
      </c>
      <c r="V555">
        <v>0</v>
      </c>
      <c r="W555">
        <v>0</v>
      </c>
      <c r="X555">
        <v>0</v>
      </c>
      <c r="Y555">
        <v>0</v>
      </c>
      <c r="Z555">
        <v>0</v>
      </c>
      <c r="AA555">
        <v>0</v>
      </c>
      <c r="AB555">
        <v>0</v>
      </c>
      <c r="AC555">
        <v>0</v>
      </c>
      <c r="AD555">
        <v>0</v>
      </c>
      <c r="AE555">
        <v>0</v>
      </c>
      <c r="AF555">
        <v>0</v>
      </c>
      <c r="AG555">
        <v>0</v>
      </c>
      <c r="AH555">
        <v>0</v>
      </c>
      <c r="AI555">
        <v>0</v>
      </c>
      <c r="AJ555">
        <v>0</v>
      </c>
      <c r="AK555">
        <v>0</v>
      </c>
      <c r="AL555">
        <v>0</v>
      </c>
      <c r="AM555">
        <v>0</v>
      </c>
      <c r="AN555">
        <v>0</v>
      </c>
      <c r="AO555">
        <v>0</v>
      </c>
      <c r="AP555">
        <v>0</v>
      </c>
      <c r="AQ555">
        <v>0</v>
      </c>
      <c r="AR555">
        <v>0</v>
      </c>
      <c r="AS555">
        <v>0</v>
      </c>
      <c r="AT555">
        <v>0</v>
      </c>
      <c r="AU555">
        <v>0</v>
      </c>
      <c r="AV555">
        <v>0</v>
      </c>
      <c r="AW555">
        <v>0</v>
      </c>
      <c r="AX555">
        <v>0</v>
      </c>
      <c r="AY555">
        <v>0</v>
      </c>
      <c r="AZ555">
        <v>0</v>
      </c>
      <c r="BA555">
        <v>0</v>
      </c>
      <c r="BB555">
        <v>0</v>
      </c>
      <c r="BC555">
        <v>0</v>
      </c>
      <c r="BD555">
        <v>0</v>
      </c>
      <c r="BE555">
        <v>0</v>
      </c>
      <c r="BF555">
        <v>0</v>
      </c>
      <c r="BG555">
        <v>0</v>
      </c>
      <c r="BH555">
        <v>0</v>
      </c>
      <c r="BI555">
        <v>0</v>
      </c>
      <c r="BJ555">
        <v>0</v>
      </c>
      <c r="BK555">
        <v>0</v>
      </c>
      <c r="BL555">
        <v>0</v>
      </c>
      <c r="BM555">
        <v>0</v>
      </c>
      <c r="BN555">
        <v>0</v>
      </c>
      <c r="BO555">
        <v>0</v>
      </c>
      <c r="BP555">
        <v>0</v>
      </c>
      <c r="BQ555">
        <v>0</v>
      </c>
      <c r="BR555">
        <v>0</v>
      </c>
      <c r="BS555">
        <v>0</v>
      </c>
      <c r="BT555">
        <v>0</v>
      </c>
      <c r="BU555">
        <v>0</v>
      </c>
      <c r="BV555">
        <v>0</v>
      </c>
      <c r="BW555">
        <v>0</v>
      </c>
      <c r="BX555">
        <v>0</v>
      </c>
      <c r="BY555">
        <v>0</v>
      </c>
      <c r="BZ555">
        <v>0</v>
      </c>
      <c r="CA555">
        <v>0</v>
      </c>
      <c r="CB555">
        <v>0</v>
      </c>
    </row>
    <row r="556" spans="1:80" x14ac:dyDescent="0.2">
      <c r="A556">
        <v>0</v>
      </c>
      <c r="B556">
        <v>0</v>
      </c>
      <c r="C556">
        <v>0</v>
      </c>
      <c r="D556">
        <v>0</v>
      </c>
      <c r="E556">
        <v>0</v>
      </c>
      <c r="F556">
        <v>0</v>
      </c>
      <c r="G556">
        <v>0</v>
      </c>
      <c r="H556">
        <v>0</v>
      </c>
      <c r="I556">
        <v>0</v>
      </c>
      <c r="J556">
        <v>0</v>
      </c>
      <c r="K556">
        <v>0</v>
      </c>
      <c r="L556">
        <v>0</v>
      </c>
      <c r="M556">
        <v>0</v>
      </c>
      <c r="N556">
        <v>0</v>
      </c>
      <c r="O556">
        <v>0</v>
      </c>
      <c r="P556">
        <v>0</v>
      </c>
      <c r="Q556">
        <v>0</v>
      </c>
      <c r="R556">
        <v>0</v>
      </c>
      <c r="S556">
        <v>0</v>
      </c>
      <c r="T556">
        <v>0</v>
      </c>
      <c r="U556">
        <v>0</v>
      </c>
      <c r="V556">
        <v>0</v>
      </c>
      <c r="W556">
        <v>0</v>
      </c>
      <c r="X556">
        <v>0</v>
      </c>
      <c r="Y556">
        <v>0</v>
      </c>
      <c r="Z556">
        <v>0</v>
      </c>
      <c r="AA556">
        <v>0</v>
      </c>
      <c r="AB556">
        <v>0</v>
      </c>
      <c r="AC556">
        <v>0</v>
      </c>
      <c r="AD556">
        <v>0</v>
      </c>
      <c r="AE556">
        <v>0</v>
      </c>
      <c r="AF556">
        <v>0</v>
      </c>
      <c r="AG556">
        <v>0</v>
      </c>
      <c r="AH556">
        <v>0</v>
      </c>
      <c r="AI556">
        <v>0</v>
      </c>
      <c r="AJ556">
        <v>0</v>
      </c>
      <c r="AK556">
        <v>0</v>
      </c>
      <c r="AL556">
        <v>0</v>
      </c>
      <c r="AM556">
        <v>0</v>
      </c>
      <c r="AN556">
        <v>0</v>
      </c>
      <c r="AO556">
        <v>0</v>
      </c>
      <c r="AP556">
        <v>0</v>
      </c>
      <c r="AQ556">
        <v>0</v>
      </c>
      <c r="AR556">
        <v>0</v>
      </c>
      <c r="AS556">
        <v>0</v>
      </c>
      <c r="AT556">
        <v>0</v>
      </c>
      <c r="AU556">
        <v>0</v>
      </c>
      <c r="AV556">
        <v>0</v>
      </c>
      <c r="AW556">
        <v>0</v>
      </c>
      <c r="AX556">
        <v>0</v>
      </c>
      <c r="AY556">
        <v>0</v>
      </c>
      <c r="AZ556">
        <v>0</v>
      </c>
      <c r="BA556">
        <v>0</v>
      </c>
      <c r="BB556">
        <v>0</v>
      </c>
      <c r="BC556">
        <v>0</v>
      </c>
      <c r="BD556">
        <v>0</v>
      </c>
      <c r="BE556">
        <v>0</v>
      </c>
      <c r="BF556">
        <v>0</v>
      </c>
      <c r="BG556">
        <v>0</v>
      </c>
      <c r="BH556">
        <v>0</v>
      </c>
      <c r="BI556">
        <v>0</v>
      </c>
      <c r="BJ556">
        <v>0</v>
      </c>
      <c r="BK556">
        <v>0</v>
      </c>
      <c r="BL556">
        <v>0</v>
      </c>
      <c r="BM556">
        <v>0</v>
      </c>
      <c r="BN556">
        <v>0</v>
      </c>
      <c r="BO556">
        <v>0</v>
      </c>
      <c r="BP556">
        <v>0</v>
      </c>
      <c r="BQ556">
        <v>0</v>
      </c>
      <c r="BR556">
        <v>0</v>
      </c>
      <c r="BS556">
        <v>0</v>
      </c>
      <c r="BT556">
        <v>0</v>
      </c>
      <c r="BU556">
        <v>0</v>
      </c>
      <c r="BV556">
        <v>0</v>
      </c>
      <c r="BW556">
        <v>0</v>
      </c>
      <c r="BX556">
        <v>0</v>
      </c>
      <c r="BY556">
        <v>0</v>
      </c>
      <c r="BZ556">
        <v>0</v>
      </c>
      <c r="CA556">
        <v>0</v>
      </c>
      <c r="CB556">
        <v>0</v>
      </c>
    </row>
    <row r="557" spans="1:80" x14ac:dyDescent="0.2">
      <c r="A557">
        <v>0</v>
      </c>
      <c r="B557">
        <v>0</v>
      </c>
      <c r="C557">
        <v>0</v>
      </c>
      <c r="D557">
        <v>0</v>
      </c>
      <c r="E557">
        <v>0</v>
      </c>
      <c r="F557">
        <v>0</v>
      </c>
      <c r="G557">
        <v>0</v>
      </c>
      <c r="H557">
        <v>0</v>
      </c>
      <c r="I557">
        <v>0</v>
      </c>
      <c r="J557">
        <v>0</v>
      </c>
      <c r="K557">
        <v>0</v>
      </c>
      <c r="L557">
        <v>0</v>
      </c>
      <c r="M557">
        <v>0</v>
      </c>
      <c r="N557">
        <v>0</v>
      </c>
      <c r="O557">
        <v>0</v>
      </c>
      <c r="P557">
        <v>0</v>
      </c>
      <c r="Q557">
        <v>0</v>
      </c>
      <c r="R557">
        <v>0</v>
      </c>
      <c r="S557">
        <v>0</v>
      </c>
      <c r="T557">
        <v>0</v>
      </c>
      <c r="U557">
        <v>0</v>
      </c>
      <c r="V557">
        <v>0</v>
      </c>
      <c r="W557">
        <v>0</v>
      </c>
      <c r="X557">
        <v>0</v>
      </c>
      <c r="Y557">
        <v>0</v>
      </c>
      <c r="Z557">
        <v>0</v>
      </c>
      <c r="AA557">
        <v>0</v>
      </c>
      <c r="AB557">
        <v>0</v>
      </c>
      <c r="AC557">
        <v>0</v>
      </c>
      <c r="AD557">
        <v>0</v>
      </c>
      <c r="AE557">
        <v>0</v>
      </c>
      <c r="AF557">
        <v>0</v>
      </c>
      <c r="AG557">
        <v>0</v>
      </c>
      <c r="AH557">
        <v>0</v>
      </c>
      <c r="AI557">
        <v>0</v>
      </c>
      <c r="AJ557">
        <v>0</v>
      </c>
      <c r="AK557">
        <v>0</v>
      </c>
      <c r="AL557">
        <v>0</v>
      </c>
      <c r="AM557">
        <v>0</v>
      </c>
      <c r="AN557">
        <v>0</v>
      </c>
      <c r="AO557">
        <v>0</v>
      </c>
      <c r="AP557">
        <v>0</v>
      </c>
      <c r="AQ557">
        <v>0</v>
      </c>
      <c r="AR557">
        <v>0</v>
      </c>
      <c r="AS557">
        <v>0</v>
      </c>
      <c r="AT557">
        <v>0</v>
      </c>
      <c r="AU557">
        <v>0</v>
      </c>
      <c r="AV557">
        <v>0</v>
      </c>
      <c r="AW557">
        <v>0</v>
      </c>
      <c r="AX557">
        <v>0</v>
      </c>
      <c r="AY557">
        <v>0</v>
      </c>
      <c r="AZ557">
        <v>0</v>
      </c>
      <c r="BA557">
        <v>0</v>
      </c>
      <c r="BB557">
        <v>0</v>
      </c>
      <c r="BC557">
        <v>0</v>
      </c>
      <c r="BD557">
        <v>0</v>
      </c>
      <c r="BE557">
        <v>0</v>
      </c>
      <c r="BF557">
        <v>0</v>
      </c>
      <c r="BG557">
        <v>0</v>
      </c>
      <c r="BH557">
        <v>0</v>
      </c>
      <c r="BI557">
        <v>0</v>
      </c>
      <c r="BJ557">
        <v>0</v>
      </c>
      <c r="BK557">
        <v>0</v>
      </c>
      <c r="BL557">
        <v>0</v>
      </c>
      <c r="BM557">
        <v>0</v>
      </c>
      <c r="BN557">
        <v>0</v>
      </c>
      <c r="BO557">
        <v>0</v>
      </c>
      <c r="BP557">
        <v>0</v>
      </c>
      <c r="BQ557">
        <v>0</v>
      </c>
      <c r="BR557">
        <v>0</v>
      </c>
      <c r="BS557">
        <v>0</v>
      </c>
      <c r="BT557">
        <v>0</v>
      </c>
      <c r="BU557">
        <v>0</v>
      </c>
      <c r="BV557">
        <v>0</v>
      </c>
      <c r="BW557">
        <v>0</v>
      </c>
      <c r="BX557">
        <v>0</v>
      </c>
      <c r="BY557">
        <v>0</v>
      </c>
      <c r="BZ557">
        <v>0</v>
      </c>
      <c r="CA557">
        <v>0</v>
      </c>
      <c r="CB557">
        <v>0</v>
      </c>
    </row>
    <row r="558" spans="1:80" x14ac:dyDescent="0.2">
      <c r="A558">
        <v>0</v>
      </c>
      <c r="B558">
        <v>0</v>
      </c>
      <c r="C558">
        <v>0</v>
      </c>
      <c r="D558">
        <v>0</v>
      </c>
      <c r="E558">
        <v>0</v>
      </c>
      <c r="F558">
        <v>0</v>
      </c>
      <c r="G558">
        <v>0</v>
      </c>
      <c r="H558">
        <v>0</v>
      </c>
      <c r="I558">
        <v>0</v>
      </c>
      <c r="J558">
        <v>0</v>
      </c>
      <c r="K558">
        <v>0</v>
      </c>
      <c r="L558">
        <v>0</v>
      </c>
      <c r="M558">
        <v>0</v>
      </c>
      <c r="N558">
        <v>0</v>
      </c>
      <c r="O558">
        <v>0</v>
      </c>
      <c r="P558">
        <v>0</v>
      </c>
      <c r="Q558">
        <v>0</v>
      </c>
      <c r="R558">
        <v>0</v>
      </c>
      <c r="S558">
        <v>0</v>
      </c>
      <c r="T558">
        <v>0</v>
      </c>
      <c r="U558">
        <v>0</v>
      </c>
      <c r="V558">
        <v>0</v>
      </c>
      <c r="W558">
        <v>0</v>
      </c>
      <c r="X558">
        <v>0</v>
      </c>
      <c r="Y558">
        <v>0</v>
      </c>
      <c r="Z558">
        <v>0</v>
      </c>
      <c r="AA558">
        <v>0</v>
      </c>
      <c r="AB558">
        <v>0</v>
      </c>
      <c r="AC558">
        <v>0</v>
      </c>
      <c r="AD558">
        <v>0</v>
      </c>
      <c r="AE558">
        <v>0</v>
      </c>
      <c r="AF558">
        <v>0</v>
      </c>
      <c r="AG558">
        <v>0</v>
      </c>
      <c r="AH558">
        <v>0</v>
      </c>
      <c r="AI558">
        <v>0</v>
      </c>
      <c r="AJ558">
        <v>0</v>
      </c>
      <c r="AK558">
        <v>0</v>
      </c>
      <c r="AL558">
        <v>0</v>
      </c>
      <c r="AM558">
        <v>0</v>
      </c>
      <c r="AN558">
        <v>0</v>
      </c>
      <c r="AO558">
        <v>0</v>
      </c>
      <c r="AP558">
        <v>0</v>
      </c>
      <c r="AQ558">
        <v>0</v>
      </c>
      <c r="AR558">
        <v>0</v>
      </c>
      <c r="AS558">
        <v>0</v>
      </c>
      <c r="AT558">
        <v>0</v>
      </c>
      <c r="AU558">
        <v>0</v>
      </c>
      <c r="AV558">
        <v>0</v>
      </c>
      <c r="AW558">
        <v>0</v>
      </c>
      <c r="AX558">
        <v>0</v>
      </c>
      <c r="AY558">
        <v>0</v>
      </c>
      <c r="AZ558">
        <v>0</v>
      </c>
      <c r="BA558">
        <v>0</v>
      </c>
      <c r="BB558">
        <v>0</v>
      </c>
      <c r="BC558">
        <v>0</v>
      </c>
      <c r="BD558">
        <v>0</v>
      </c>
      <c r="BE558">
        <v>0</v>
      </c>
      <c r="BF558">
        <v>0</v>
      </c>
      <c r="BG558">
        <v>0</v>
      </c>
      <c r="BH558">
        <v>0</v>
      </c>
      <c r="BI558">
        <v>0</v>
      </c>
      <c r="BJ558">
        <v>0</v>
      </c>
      <c r="BK558">
        <v>0</v>
      </c>
      <c r="BL558">
        <v>0</v>
      </c>
      <c r="BM558">
        <v>0</v>
      </c>
      <c r="BN558">
        <v>0</v>
      </c>
      <c r="BO558">
        <v>0</v>
      </c>
      <c r="BP558">
        <v>0</v>
      </c>
      <c r="BQ558">
        <v>0</v>
      </c>
      <c r="BR558">
        <v>0</v>
      </c>
      <c r="BS558">
        <v>0</v>
      </c>
      <c r="BT558">
        <v>0</v>
      </c>
      <c r="BU558">
        <v>0</v>
      </c>
      <c r="BV558">
        <v>0</v>
      </c>
      <c r="BW558">
        <v>0</v>
      </c>
      <c r="BX558">
        <v>0</v>
      </c>
      <c r="BY558">
        <v>0</v>
      </c>
      <c r="BZ558">
        <v>0</v>
      </c>
      <c r="CA558">
        <v>0</v>
      </c>
      <c r="CB558">
        <v>0</v>
      </c>
    </row>
    <row r="559" spans="1:80" x14ac:dyDescent="0.2">
      <c r="A559">
        <v>0</v>
      </c>
      <c r="B559">
        <v>0</v>
      </c>
      <c r="C559">
        <v>0</v>
      </c>
      <c r="D559">
        <v>0</v>
      </c>
      <c r="E559">
        <v>0</v>
      </c>
      <c r="F559">
        <v>0</v>
      </c>
      <c r="G559">
        <v>0</v>
      </c>
      <c r="H559">
        <v>0</v>
      </c>
      <c r="I559">
        <v>0</v>
      </c>
      <c r="J559">
        <v>0</v>
      </c>
      <c r="K559">
        <v>0</v>
      </c>
      <c r="L559">
        <v>0</v>
      </c>
      <c r="M559">
        <v>0</v>
      </c>
      <c r="N559">
        <v>0</v>
      </c>
      <c r="O559">
        <v>0</v>
      </c>
      <c r="P559">
        <v>0</v>
      </c>
      <c r="Q559">
        <v>0</v>
      </c>
      <c r="R559">
        <v>0</v>
      </c>
      <c r="S559">
        <v>0</v>
      </c>
      <c r="T559">
        <v>0</v>
      </c>
      <c r="U559">
        <v>0</v>
      </c>
      <c r="V559">
        <v>0</v>
      </c>
      <c r="W559">
        <v>0</v>
      </c>
      <c r="X559">
        <v>0</v>
      </c>
      <c r="Y559">
        <v>0</v>
      </c>
      <c r="Z559">
        <v>0</v>
      </c>
      <c r="AA559">
        <v>0</v>
      </c>
      <c r="AB559">
        <v>0</v>
      </c>
      <c r="AC559">
        <v>0</v>
      </c>
      <c r="AD559">
        <v>0</v>
      </c>
      <c r="AE559">
        <v>0</v>
      </c>
      <c r="AF559">
        <v>0</v>
      </c>
      <c r="AG559">
        <v>0</v>
      </c>
      <c r="AH559">
        <v>0</v>
      </c>
      <c r="AI559">
        <v>0</v>
      </c>
      <c r="AJ559">
        <v>0</v>
      </c>
      <c r="AK559">
        <v>0</v>
      </c>
      <c r="AL559">
        <v>0</v>
      </c>
      <c r="AM559">
        <v>0</v>
      </c>
      <c r="AN559">
        <v>0</v>
      </c>
      <c r="AO559">
        <v>0</v>
      </c>
      <c r="AP559">
        <v>0</v>
      </c>
      <c r="AQ559">
        <v>0</v>
      </c>
      <c r="AR559">
        <v>0</v>
      </c>
      <c r="AS559">
        <v>0</v>
      </c>
      <c r="AT559">
        <v>0</v>
      </c>
      <c r="AU559">
        <v>0</v>
      </c>
      <c r="AV559">
        <v>0</v>
      </c>
      <c r="AW559">
        <v>0</v>
      </c>
      <c r="AX559">
        <v>0</v>
      </c>
      <c r="AY559">
        <v>0</v>
      </c>
      <c r="AZ559">
        <v>0</v>
      </c>
      <c r="BA559">
        <v>0</v>
      </c>
      <c r="BB559">
        <v>0</v>
      </c>
      <c r="BC559">
        <v>0</v>
      </c>
      <c r="BD559">
        <v>0</v>
      </c>
      <c r="BE559">
        <v>0</v>
      </c>
      <c r="BF559">
        <v>0</v>
      </c>
      <c r="BG559">
        <v>0</v>
      </c>
      <c r="BH559">
        <v>0</v>
      </c>
      <c r="BI559">
        <v>0</v>
      </c>
      <c r="BJ559">
        <v>0</v>
      </c>
      <c r="BK559">
        <v>0</v>
      </c>
      <c r="BL559">
        <v>0</v>
      </c>
      <c r="BM559">
        <v>0</v>
      </c>
      <c r="BN559">
        <v>0</v>
      </c>
      <c r="BO559">
        <v>0</v>
      </c>
      <c r="BP559">
        <v>0</v>
      </c>
      <c r="BQ559">
        <v>0</v>
      </c>
      <c r="BR559">
        <v>0</v>
      </c>
      <c r="BS559">
        <v>0</v>
      </c>
      <c r="BT559">
        <v>0</v>
      </c>
      <c r="BU559">
        <v>0</v>
      </c>
      <c r="BV559">
        <v>0</v>
      </c>
      <c r="BW559">
        <v>0</v>
      </c>
      <c r="BX559">
        <v>0</v>
      </c>
      <c r="BY559">
        <v>0</v>
      </c>
      <c r="BZ559">
        <v>0</v>
      </c>
      <c r="CA559">
        <v>0</v>
      </c>
      <c r="CB559">
        <v>0</v>
      </c>
    </row>
    <row r="560" spans="1:80" x14ac:dyDescent="0.2">
      <c r="A560">
        <v>0</v>
      </c>
      <c r="B560">
        <v>0</v>
      </c>
      <c r="C560">
        <v>0</v>
      </c>
      <c r="D560">
        <v>0</v>
      </c>
      <c r="E560">
        <v>0</v>
      </c>
      <c r="F560">
        <v>0</v>
      </c>
      <c r="G560">
        <v>0</v>
      </c>
      <c r="H560">
        <v>0</v>
      </c>
      <c r="I560">
        <v>0</v>
      </c>
      <c r="J560">
        <v>0</v>
      </c>
      <c r="K560">
        <v>0</v>
      </c>
      <c r="L560">
        <v>0</v>
      </c>
      <c r="M560">
        <v>0</v>
      </c>
      <c r="N560">
        <v>0</v>
      </c>
      <c r="O560">
        <v>0</v>
      </c>
      <c r="P560">
        <v>0</v>
      </c>
      <c r="Q560">
        <v>0</v>
      </c>
      <c r="R560">
        <v>0</v>
      </c>
      <c r="S560">
        <v>0</v>
      </c>
      <c r="T560">
        <v>0</v>
      </c>
      <c r="U560">
        <v>0</v>
      </c>
      <c r="V560">
        <v>0</v>
      </c>
      <c r="W560">
        <v>0</v>
      </c>
      <c r="X560">
        <v>0</v>
      </c>
      <c r="Y560">
        <v>0</v>
      </c>
      <c r="Z560">
        <v>0</v>
      </c>
      <c r="AA560">
        <v>0</v>
      </c>
      <c r="AB560">
        <v>0</v>
      </c>
      <c r="AC560">
        <v>0</v>
      </c>
      <c r="AD560">
        <v>0</v>
      </c>
      <c r="AE560">
        <v>0</v>
      </c>
      <c r="AF560">
        <v>0</v>
      </c>
      <c r="AG560">
        <v>0</v>
      </c>
      <c r="AH560">
        <v>0</v>
      </c>
      <c r="AI560">
        <v>0</v>
      </c>
      <c r="AJ560">
        <v>0</v>
      </c>
      <c r="AK560">
        <v>0</v>
      </c>
      <c r="AL560">
        <v>0</v>
      </c>
      <c r="AM560">
        <v>0</v>
      </c>
      <c r="AN560">
        <v>0</v>
      </c>
      <c r="AO560">
        <v>0</v>
      </c>
      <c r="AP560">
        <v>0</v>
      </c>
      <c r="AQ560">
        <v>0</v>
      </c>
      <c r="AR560">
        <v>0</v>
      </c>
      <c r="AS560">
        <v>0</v>
      </c>
      <c r="AT560">
        <v>0</v>
      </c>
      <c r="AU560">
        <v>0</v>
      </c>
      <c r="AV560">
        <v>0</v>
      </c>
      <c r="AW560">
        <v>0</v>
      </c>
      <c r="AX560">
        <v>0</v>
      </c>
      <c r="AY560">
        <v>0</v>
      </c>
      <c r="AZ560">
        <v>0</v>
      </c>
      <c r="BA560">
        <v>0</v>
      </c>
      <c r="BB560">
        <v>0</v>
      </c>
      <c r="BC560">
        <v>0</v>
      </c>
      <c r="BD560">
        <v>0</v>
      </c>
      <c r="BE560">
        <v>0</v>
      </c>
      <c r="BF560">
        <v>0</v>
      </c>
      <c r="BG560">
        <v>0</v>
      </c>
      <c r="BH560">
        <v>0</v>
      </c>
      <c r="BI560">
        <v>0</v>
      </c>
      <c r="BJ560">
        <v>0</v>
      </c>
      <c r="BK560">
        <v>0</v>
      </c>
      <c r="BL560">
        <v>0</v>
      </c>
      <c r="BM560">
        <v>0</v>
      </c>
      <c r="BN560">
        <v>0</v>
      </c>
      <c r="BO560">
        <v>0</v>
      </c>
      <c r="BP560">
        <v>0</v>
      </c>
      <c r="BQ560">
        <v>0</v>
      </c>
      <c r="BR560">
        <v>0</v>
      </c>
      <c r="BS560">
        <v>0</v>
      </c>
      <c r="BT560">
        <v>0</v>
      </c>
      <c r="BU560">
        <v>0</v>
      </c>
      <c r="BV560">
        <v>0</v>
      </c>
      <c r="BW560">
        <v>0</v>
      </c>
      <c r="BX560">
        <v>0</v>
      </c>
      <c r="BY560">
        <v>0</v>
      </c>
      <c r="BZ560">
        <v>0</v>
      </c>
      <c r="CA560">
        <v>0</v>
      </c>
      <c r="CB560">
        <v>0</v>
      </c>
    </row>
    <row r="561" spans="1:80" x14ac:dyDescent="0.2">
      <c r="A561">
        <v>0</v>
      </c>
      <c r="B561">
        <v>0</v>
      </c>
      <c r="C561">
        <v>0</v>
      </c>
      <c r="D561">
        <v>0</v>
      </c>
      <c r="E561">
        <v>0</v>
      </c>
      <c r="F561">
        <v>0</v>
      </c>
      <c r="G561">
        <v>0</v>
      </c>
      <c r="H561">
        <v>0</v>
      </c>
      <c r="I561">
        <v>0</v>
      </c>
      <c r="J561">
        <v>0</v>
      </c>
      <c r="K561">
        <v>0</v>
      </c>
      <c r="L561">
        <v>0</v>
      </c>
      <c r="M561">
        <v>0</v>
      </c>
      <c r="N561">
        <v>0</v>
      </c>
      <c r="O561">
        <v>0</v>
      </c>
      <c r="P561">
        <v>0</v>
      </c>
      <c r="Q561">
        <v>0</v>
      </c>
      <c r="R561">
        <v>0</v>
      </c>
      <c r="S561">
        <v>0</v>
      </c>
      <c r="T561">
        <v>0</v>
      </c>
      <c r="U561">
        <v>0</v>
      </c>
      <c r="V561">
        <v>0</v>
      </c>
      <c r="W561">
        <v>0</v>
      </c>
      <c r="X561">
        <v>0</v>
      </c>
      <c r="Y561">
        <v>0</v>
      </c>
      <c r="Z561">
        <v>0</v>
      </c>
      <c r="AA561">
        <v>0</v>
      </c>
      <c r="AB561">
        <v>0</v>
      </c>
      <c r="AC561">
        <v>0</v>
      </c>
      <c r="AD561">
        <v>0</v>
      </c>
      <c r="AE561">
        <v>0</v>
      </c>
      <c r="AF561">
        <v>0</v>
      </c>
      <c r="AG561">
        <v>0</v>
      </c>
      <c r="AH561">
        <v>0</v>
      </c>
      <c r="AI561">
        <v>0</v>
      </c>
      <c r="AJ561">
        <v>0</v>
      </c>
      <c r="AK561">
        <v>0</v>
      </c>
      <c r="AL561">
        <v>0</v>
      </c>
      <c r="AM561">
        <v>0</v>
      </c>
      <c r="AN561">
        <v>0</v>
      </c>
      <c r="AO561">
        <v>0</v>
      </c>
      <c r="AP561">
        <v>0</v>
      </c>
      <c r="AQ561">
        <v>0</v>
      </c>
      <c r="AR561">
        <v>0</v>
      </c>
      <c r="AS561">
        <v>0</v>
      </c>
      <c r="AT561">
        <v>0</v>
      </c>
      <c r="AU561">
        <v>0</v>
      </c>
      <c r="AV561">
        <v>0</v>
      </c>
      <c r="AW561">
        <v>0</v>
      </c>
      <c r="AX561">
        <v>0</v>
      </c>
      <c r="AY561">
        <v>0</v>
      </c>
      <c r="AZ561">
        <v>0</v>
      </c>
      <c r="BA561">
        <v>0</v>
      </c>
      <c r="BB561">
        <v>0</v>
      </c>
      <c r="BC561">
        <v>0</v>
      </c>
      <c r="BD561">
        <v>0</v>
      </c>
      <c r="BE561">
        <v>0</v>
      </c>
      <c r="BF561">
        <v>0</v>
      </c>
      <c r="BG561">
        <v>0</v>
      </c>
      <c r="BH561">
        <v>0</v>
      </c>
      <c r="BI561">
        <v>0</v>
      </c>
      <c r="BJ561">
        <v>0</v>
      </c>
      <c r="BK561">
        <v>0</v>
      </c>
      <c r="BL561">
        <v>0</v>
      </c>
      <c r="BM561">
        <v>0</v>
      </c>
      <c r="BN561">
        <v>0</v>
      </c>
      <c r="BO561">
        <v>0</v>
      </c>
      <c r="BP561">
        <v>0</v>
      </c>
      <c r="BQ561">
        <v>0</v>
      </c>
      <c r="BR561">
        <v>0</v>
      </c>
      <c r="BS561">
        <v>0</v>
      </c>
      <c r="BT561">
        <v>0</v>
      </c>
      <c r="BU561">
        <v>0</v>
      </c>
      <c r="BV561">
        <v>0</v>
      </c>
      <c r="BW561">
        <v>0</v>
      </c>
      <c r="BX561">
        <v>0</v>
      </c>
      <c r="BY561">
        <v>0</v>
      </c>
      <c r="BZ561">
        <v>0</v>
      </c>
      <c r="CA561">
        <v>0</v>
      </c>
      <c r="CB561">
        <v>0</v>
      </c>
    </row>
    <row r="562" spans="1:80" x14ac:dyDescent="0.2">
      <c r="A562">
        <v>0</v>
      </c>
      <c r="B562">
        <v>0</v>
      </c>
      <c r="C562">
        <v>0</v>
      </c>
      <c r="D562">
        <v>0</v>
      </c>
      <c r="E562">
        <v>0</v>
      </c>
      <c r="F562">
        <v>0</v>
      </c>
      <c r="G562">
        <v>0</v>
      </c>
      <c r="H562">
        <v>0</v>
      </c>
      <c r="I562">
        <v>0</v>
      </c>
      <c r="J562">
        <v>0</v>
      </c>
      <c r="K562">
        <v>0</v>
      </c>
      <c r="L562">
        <v>0</v>
      </c>
      <c r="M562">
        <v>0</v>
      </c>
      <c r="N562">
        <v>0</v>
      </c>
      <c r="O562">
        <v>0</v>
      </c>
      <c r="P562">
        <v>0</v>
      </c>
      <c r="Q562">
        <v>0</v>
      </c>
      <c r="R562">
        <v>0</v>
      </c>
      <c r="S562">
        <v>0</v>
      </c>
      <c r="T562">
        <v>0</v>
      </c>
      <c r="U562">
        <v>0</v>
      </c>
      <c r="V562">
        <v>0</v>
      </c>
      <c r="W562">
        <v>0</v>
      </c>
      <c r="X562">
        <v>0</v>
      </c>
      <c r="Y562">
        <v>0</v>
      </c>
      <c r="Z562">
        <v>0</v>
      </c>
      <c r="AA562">
        <v>0</v>
      </c>
      <c r="AB562">
        <v>0</v>
      </c>
      <c r="AC562">
        <v>0</v>
      </c>
      <c r="AD562">
        <v>0</v>
      </c>
      <c r="AE562">
        <v>0</v>
      </c>
      <c r="AF562">
        <v>0</v>
      </c>
      <c r="AG562">
        <v>0</v>
      </c>
      <c r="AH562">
        <v>0</v>
      </c>
      <c r="AI562">
        <v>0</v>
      </c>
      <c r="AJ562">
        <v>0</v>
      </c>
      <c r="AK562">
        <v>0</v>
      </c>
      <c r="AL562">
        <v>0</v>
      </c>
      <c r="AM562">
        <v>0</v>
      </c>
      <c r="AN562">
        <v>0</v>
      </c>
      <c r="AO562">
        <v>0</v>
      </c>
      <c r="AP562">
        <v>0</v>
      </c>
      <c r="AQ562">
        <v>0</v>
      </c>
      <c r="AR562">
        <v>0</v>
      </c>
      <c r="AS562">
        <v>0</v>
      </c>
      <c r="AT562">
        <v>0</v>
      </c>
      <c r="AU562">
        <v>0</v>
      </c>
      <c r="AV562">
        <v>0</v>
      </c>
      <c r="AW562">
        <v>0</v>
      </c>
      <c r="AX562">
        <v>0</v>
      </c>
      <c r="AY562">
        <v>0</v>
      </c>
      <c r="AZ562">
        <v>0</v>
      </c>
      <c r="BA562">
        <v>0</v>
      </c>
      <c r="BB562">
        <v>0</v>
      </c>
      <c r="BC562">
        <v>0</v>
      </c>
      <c r="BD562">
        <v>0</v>
      </c>
      <c r="BE562">
        <v>0</v>
      </c>
      <c r="BF562">
        <v>0</v>
      </c>
      <c r="BG562">
        <v>0</v>
      </c>
      <c r="BH562">
        <v>0</v>
      </c>
      <c r="BI562">
        <v>0</v>
      </c>
      <c r="BJ562">
        <v>0</v>
      </c>
      <c r="BK562">
        <v>0</v>
      </c>
      <c r="BL562">
        <v>0</v>
      </c>
      <c r="BM562">
        <v>0</v>
      </c>
      <c r="BN562">
        <v>0</v>
      </c>
      <c r="BO562">
        <v>0</v>
      </c>
      <c r="BP562">
        <v>0</v>
      </c>
      <c r="BQ562">
        <v>0</v>
      </c>
      <c r="BR562">
        <v>0</v>
      </c>
      <c r="BS562">
        <v>0</v>
      </c>
      <c r="BT562">
        <v>0</v>
      </c>
      <c r="BU562">
        <v>0</v>
      </c>
      <c r="BV562">
        <v>0</v>
      </c>
      <c r="BW562">
        <v>0</v>
      </c>
      <c r="BX562">
        <v>0</v>
      </c>
      <c r="BY562">
        <v>0</v>
      </c>
      <c r="BZ562">
        <v>0</v>
      </c>
      <c r="CA562">
        <v>0</v>
      </c>
      <c r="CB562">
        <v>0</v>
      </c>
    </row>
    <row r="563" spans="1:80" x14ac:dyDescent="0.2">
      <c r="A563">
        <v>0</v>
      </c>
      <c r="B563">
        <v>0</v>
      </c>
      <c r="C563">
        <v>0</v>
      </c>
      <c r="D563">
        <v>0</v>
      </c>
      <c r="E563">
        <v>0</v>
      </c>
      <c r="F563">
        <v>0</v>
      </c>
      <c r="G563">
        <v>0</v>
      </c>
      <c r="H563">
        <v>0</v>
      </c>
      <c r="I563">
        <v>0</v>
      </c>
      <c r="J563">
        <v>0</v>
      </c>
      <c r="K563">
        <v>0</v>
      </c>
      <c r="L563">
        <v>0</v>
      </c>
      <c r="M563">
        <v>0</v>
      </c>
      <c r="N563">
        <v>0</v>
      </c>
      <c r="O563">
        <v>0</v>
      </c>
      <c r="P563">
        <v>0</v>
      </c>
      <c r="Q563">
        <v>0</v>
      </c>
      <c r="R563">
        <v>0</v>
      </c>
      <c r="S563">
        <v>0</v>
      </c>
      <c r="T563">
        <v>0</v>
      </c>
      <c r="U563">
        <v>0</v>
      </c>
      <c r="V563">
        <v>0</v>
      </c>
      <c r="W563">
        <v>0</v>
      </c>
      <c r="X563">
        <v>0</v>
      </c>
      <c r="Y563">
        <v>0</v>
      </c>
      <c r="Z563">
        <v>0</v>
      </c>
      <c r="AA563">
        <v>0</v>
      </c>
      <c r="AB563">
        <v>0</v>
      </c>
      <c r="AC563">
        <v>0</v>
      </c>
      <c r="AD563">
        <v>0</v>
      </c>
      <c r="AE563">
        <v>0</v>
      </c>
      <c r="AF563">
        <v>0</v>
      </c>
      <c r="AG563">
        <v>0</v>
      </c>
      <c r="AH563">
        <v>0</v>
      </c>
      <c r="AI563">
        <v>0</v>
      </c>
      <c r="AJ563">
        <v>0</v>
      </c>
      <c r="AK563">
        <v>0</v>
      </c>
      <c r="AL563">
        <v>0</v>
      </c>
      <c r="AM563">
        <v>0</v>
      </c>
      <c r="AN563">
        <v>0</v>
      </c>
      <c r="AO563">
        <v>0</v>
      </c>
      <c r="AP563">
        <v>0</v>
      </c>
      <c r="AQ563">
        <v>0</v>
      </c>
      <c r="AR563">
        <v>0</v>
      </c>
      <c r="AS563">
        <v>0</v>
      </c>
      <c r="AT563">
        <v>0</v>
      </c>
      <c r="AU563">
        <v>0</v>
      </c>
      <c r="AV563">
        <v>0</v>
      </c>
      <c r="AW563">
        <v>0</v>
      </c>
      <c r="AX563">
        <v>0</v>
      </c>
      <c r="AY563">
        <v>0</v>
      </c>
      <c r="AZ563">
        <v>0</v>
      </c>
      <c r="BA563">
        <v>0</v>
      </c>
      <c r="BB563">
        <v>0</v>
      </c>
      <c r="BC563">
        <v>0</v>
      </c>
      <c r="BD563">
        <v>0</v>
      </c>
      <c r="BE563">
        <v>0</v>
      </c>
      <c r="BF563">
        <v>0</v>
      </c>
      <c r="BG563">
        <v>0</v>
      </c>
      <c r="BH563">
        <v>0</v>
      </c>
      <c r="BI563">
        <v>0</v>
      </c>
      <c r="BJ563">
        <v>0</v>
      </c>
      <c r="BK563">
        <v>0</v>
      </c>
      <c r="BL563">
        <v>0</v>
      </c>
      <c r="BM563">
        <v>0</v>
      </c>
      <c r="BN563">
        <v>0</v>
      </c>
      <c r="BO563">
        <v>0</v>
      </c>
      <c r="BP563">
        <v>0</v>
      </c>
      <c r="BQ563">
        <v>0</v>
      </c>
      <c r="BR563">
        <v>0</v>
      </c>
      <c r="BS563">
        <v>0</v>
      </c>
      <c r="BT563">
        <v>0</v>
      </c>
      <c r="BU563">
        <v>0</v>
      </c>
      <c r="BV563">
        <v>0</v>
      </c>
      <c r="BW563">
        <v>0</v>
      </c>
      <c r="BX563">
        <v>0</v>
      </c>
      <c r="BY563">
        <v>0</v>
      </c>
      <c r="BZ563">
        <v>0</v>
      </c>
      <c r="CA563">
        <v>0</v>
      </c>
      <c r="CB563">
        <v>0</v>
      </c>
    </row>
    <row r="564" spans="1:80" x14ac:dyDescent="0.2">
      <c r="A564">
        <v>0</v>
      </c>
      <c r="B564">
        <v>0</v>
      </c>
      <c r="C564">
        <v>0</v>
      </c>
      <c r="D564">
        <v>0</v>
      </c>
      <c r="E564">
        <v>0</v>
      </c>
      <c r="F564">
        <v>0</v>
      </c>
      <c r="G564">
        <v>0</v>
      </c>
      <c r="H564">
        <v>0</v>
      </c>
      <c r="I564">
        <v>0</v>
      </c>
      <c r="J564">
        <v>0</v>
      </c>
      <c r="K564">
        <v>0</v>
      </c>
      <c r="L564">
        <v>0</v>
      </c>
      <c r="M564">
        <v>0</v>
      </c>
      <c r="N564">
        <v>0</v>
      </c>
      <c r="O564">
        <v>0</v>
      </c>
      <c r="P564">
        <v>0</v>
      </c>
      <c r="Q564">
        <v>0</v>
      </c>
      <c r="R564">
        <v>0</v>
      </c>
      <c r="S564">
        <v>0</v>
      </c>
      <c r="T564">
        <v>0</v>
      </c>
      <c r="U564">
        <v>0</v>
      </c>
      <c r="V564">
        <v>0</v>
      </c>
      <c r="W564">
        <v>0</v>
      </c>
      <c r="X564">
        <v>0</v>
      </c>
      <c r="Y564">
        <v>0</v>
      </c>
      <c r="Z564">
        <v>0</v>
      </c>
      <c r="AA564">
        <v>0</v>
      </c>
      <c r="AB564">
        <v>0</v>
      </c>
      <c r="AC564">
        <v>0</v>
      </c>
      <c r="AD564">
        <v>0</v>
      </c>
      <c r="AE564">
        <v>0</v>
      </c>
      <c r="AF564">
        <v>0</v>
      </c>
      <c r="AG564">
        <v>0</v>
      </c>
      <c r="AH564">
        <v>0</v>
      </c>
      <c r="AI564">
        <v>0</v>
      </c>
      <c r="AJ564">
        <v>0</v>
      </c>
      <c r="AK564">
        <v>0</v>
      </c>
      <c r="AL564">
        <v>0</v>
      </c>
      <c r="AM564">
        <v>0</v>
      </c>
      <c r="AN564">
        <v>0</v>
      </c>
      <c r="AO564">
        <v>0</v>
      </c>
      <c r="AP564">
        <v>0</v>
      </c>
      <c r="AQ564">
        <v>0</v>
      </c>
      <c r="AR564">
        <v>0</v>
      </c>
      <c r="AS564">
        <v>0</v>
      </c>
      <c r="AT564">
        <v>0</v>
      </c>
      <c r="AU564">
        <v>0</v>
      </c>
      <c r="AV564">
        <v>0</v>
      </c>
      <c r="AW564">
        <v>0</v>
      </c>
      <c r="AX564">
        <v>0</v>
      </c>
      <c r="AY564">
        <v>0</v>
      </c>
      <c r="AZ564">
        <v>0</v>
      </c>
      <c r="BA564">
        <v>0</v>
      </c>
      <c r="BB564">
        <v>0</v>
      </c>
      <c r="BC564">
        <v>0</v>
      </c>
      <c r="BD564">
        <v>0</v>
      </c>
      <c r="BE564">
        <v>0</v>
      </c>
      <c r="BF564">
        <v>0</v>
      </c>
      <c r="BG564">
        <v>0</v>
      </c>
      <c r="BH564">
        <v>0</v>
      </c>
      <c r="BI564">
        <v>0</v>
      </c>
      <c r="BJ564">
        <v>0</v>
      </c>
      <c r="BK564">
        <v>0</v>
      </c>
      <c r="BL564">
        <v>0</v>
      </c>
      <c r="BM564">
        <v>0</v>
      </c>
      <c r="BN564">
        <v>0</v>
      </c>
      <c r="BO564">
        <v>0</v>
      </c>
      <c r="BP564">
        <v>0</v>
      </c>
      <c r="BQ564">
        <v>0</v>
      </c>
      <c r="BR564">
        <v>0</v>
      </c>
      <c r="BS564">
        <v>0</v>
      </c>
      <c r="BT564">
        <v>0</v>
      </c>
      <c r="BU564">
        <v>0</v>
      </c>
      <c r="BV564">
        <v>0</v>
      </c>
      <c r="BW564">
        <v>0</v>
      </c>
      <c r="BX564">
        <v>0</v>
      </c>
      <c r="BY564">
        <v>0</v>
      </c>
      <c r="BZ564">
        <v>0</v>
      </c>
      <c r="CA564">
        <v>0</v>
      </c>
      <c r="CB564">
        <v>0</v>
      </c>
    </row>
    <row r="565" spans="1:80" x14ac:dyDescent="0.2">
      <c r="A565">
        <v>0</v>
      </c>
      <c r="B565">
        <v>0</v>
      </c>
      <c r="C565">
        <v>0</v>
      </c>
      <c r="D565">
        <v>0</v>
      </c>
      <c r="E565">
        <v>0</v>
      </c>
      <c r="F565">
        <v>0</v>
      </c>
      <c r="G565">
        <v>0</v>
      </c>
      <c r="H565">
        <v>0</v>
      </c>
      <c r="I565">
        <v>0</v>
      </c>
      <c r="J565">
        <v>0</v>
      </c>
      <c r="K565">
        <v>0</v>
      </c>
      <c r="L565">
        <v>0</v>
      </c>
      <c r="M565">
        <v>0</v>
      </c>
      <c r="N565">
        <v>0</v>
      </c>
      <c r="O565">
        <v>0</v>
      </c>
      <c r="P565">
        <v>0</v>
      </c>
      <c r="Q565">
        <v>0</v>
      </c>
      <c r="R565">
        <v>0</v>
      </c>
      <c r="S565">
        <v>0</v>
      </c>
      <c r="T565">
        <v>0</v>
      </c>
      <c r="U565">
        <v>0</v>
      </c>
      <c r="V565">
        <v>0</v>
      </c>
      <c r="W565">
        <v>0</v>
      </c>
      <c r="X565">
        <v>0</v>
      </c>
      <c r="Y565">
        <v>0</v>
      </c>
      <c r="Z565">
        <v>0</v>
      </c>
      <c r="AA565">
        <v>0</v>
      </c>
      <c r="AB565">
        <v>0</v>
      </c>
      <c r="AC565">
        <v>0</v>
      </c>
      <c r="AD565">
        <v>0</v>
      </c>
      <c r="AE565">
        <v>0</v>
      </c>
      <c r="AF565">
        <v>0</v>
      </c>
      <c r="AG565">
        <v>0</v>
      </c>
      <c r="AH565">
        <v>0</v>
      </c>
      <c r="AI565">
        <v>0</v>
      </c>
      <c r="AJ565">
        <v>0</v>
      </c>
      <c r="AK565">
        <v>0</v>
      </c>
      <c r="AL565">
        <v>0</v>
      </c>
      <c r="AM565">
        <v>0</v>
      </c>
      <c r="AN565">
        <v>0</v>
      </c>
      <c r="AO565">
        <v>0</v>
      </c>
      <c r="AP565">
        <v>0</v>
      </c>
      <c r="AQ565">
        <v>0</v>
      </c>
      <c r="AR565">
        <v>0</v>
      </c>
      <c r="AS565">
        <v>0</v>
      </c>
      <c r="AT565">
        <v>0</v>
      </c>
      <c r="AU565">
        <v>0</v>
      </c>
      <c r="AV565">
        <v>0</v>
      </c>
      <c r="AW565">
        <v>0</v>
      </c>
      <c r="AX565">
        <v>0</v>
      </c>
      <c r="AY565">
        <v>0</v>
      </c>
      <c r="AZ565">
        <v>0</v>
      </c>
      <c r="BA565">
        <v>0</v>
      </c>
      <c r="BB565">
        <v>0</v>
      </c>
      <c r="BC565">
        <v>0</v>
      </c>
      <c r="BD565">
        <v>0</v>
      </c>
      <c r="BE565">
        <v>0</v>
      </c>
      <c r="BF565">
        <v>0</v>
      </c>
      <c r="BG565">
        <v>0</v>
      </c>
      <c r="BH565">
        <v>0</v>
      </c>
      <c r="BI565">
        <v>0</v>
      </c>
      <c r="BJ565">
        <v>0</v>
      </c>
      <c r="BK565">
        <v>0</v>
      </c>
      <c r="BL565">
        <v>0</v>
      </c>
      <c r="BM565">
        <v>0</v>
      </c>
      <c r="BN565">
        <v>0</v>
      </c>
      <c r="BO565">
        <v>0</v>
      </c>
      <c r="BP565">
        <v>0</v>
      </c>
      <c r="BQ565">
        <v>0</v>
      </c>
      <c r="BR565">
        <v>0</v>
      </c>
      <c r="BS565">
        <v>0</v>
      </c>
      <c r="BT565">
        <v>0</v>
      </c>
      <c r="BU565">
        <v>0</v>
      </c>
      <c r="BV565">
        <v>0</v>
      </c>
      <c r="BW565">
        <v>0</v>
      </c>
      <c r="BX565">
        <v>0</v>
      </c>
      <c r="BY565">
        <v>0</v>
      </c>
      <c r="BZ565">
        <v>0</v>
      </c>
      <c r="CA565">
        <v>0</v>
      </c>
      <c r="CB565">
        <v>0</v>
      </c>
    </row>
    <row r="566" spans="1:80" x14ac:dyDescent="0.2">
      <c r="A566">
        <v>0</v>
      </c>
      <c r="B566">
        <v>0</v>
      </c>
      <c r="C566">
        <v>0</v>
      </c>
      <c r="D566">
        <v>0</v>
      </c>
      <c r="E566">
        <v>0</v>
      </c>
      <c r="F566">
        <v>0</v>
      </c>
      <c r="G566">
        <v>0</v>
      </c>
      <c r="H566">
        <v>0</v>
      </c>
      <c r="I566">
        <v>0</v>
      </c>
      <c r="J566">
        <v>0</v>
      </c>
      <c r="K566">
        <v>0</v>
      </c>
      <c r="L566">
        <v>0</v>
      </c>
      <c r="M566">
        <v>0</v>
      </c>
      <c r="N566">
        <v>0</v>
      </c>
      <c r="O566">
        <v>0</v>
      </c>
      <c r="P566">
        <v>0</v>
      </c>
      <c r="Q566">
        <v>0</v>
      </c>
      <c r="R566">
        <v>0</v>
      </c>
      <c r="S566">
        <v>0</v>
      </c>
      <c r="T566">
        <v>0</v>
      </c>
      <c r="U566">
        <v>0</v>
      </c>
      <c r="V566">
        <v>0</v>
      </c>
      <c r="W566">
        <v>0</v>
      </c>
      <c r="X566">
        <v>0</v>
      </c>
      <c r="Y566">
        <v>0</v>
      </c>
      <c r="Z566">
        <v>0</v>
      </c>
      <c r="AA566">
        <v>0</v>
      </c>
      <c r="AB566">
        <v>0</v>
      </c>
      <c r="AC566">
        <v>0</v>
      </c>
      <c r="AD566">
        <v>0</v>
      </c>
      <c r="AE566">
        <v>0</v>
      </c>
      <c r="AF566">
        <v>0</v>
      </c>
      <c r="AG566">
        <v>0</v>
      </c>
      <c r="AH566">
        <v>0</v>
      </c>
      <c r="AI566">
        <v>0</v>
      </c>
      <c r="AJ566">
        <v>0</v>
      </c>
      <c r="AK566">
        <v>0</v>
      </c>
      <c r="AL566">
        <v>0</v>
      </c>
      <c r="AM566">
        <v>0</v>
      </c>
      <c r="AN566">
        <v>0</v>
      </c>
      <c r="AO566">
        <v>0</v>
      </c>
      <c r="AP566">
        <v>0</v>
      </c>
      <c r="AQ566">
        <v>0</v>
      </c>
      <c r="AR566">
        <v>0</v>
      </c>
      <c r="AS566">
        <v>0</v>
      </c>
      <c r="AT566">
        <v>0</v>
      </c>
      <c r="AU566">
        <v>0</v>
      </c>
      <c r="AV566">
        <v>0</v>
      </c>
      <c r="AW566">
        <v>0</v>
      </c>
      <c r="AX566">
        <v>0</v>
      </c>
      <c r="AY566">
        <v>0</v>
      </c>
      <c r="AZ566">
        <v>0</v>
      </c>
      <c r="BA566">
        <v>0</v>
      </c>
      <c r="BB566">
        <v>0</v>
      </c>
      <c r="BC566">
        <v>0</v>
      </c>
      <c r="BD566">
        <v>0</v>
      </c>
      <c r="BE566">
        <v>0</v>
      </c>
      <c r="BF566">
        <v>0</v>
      </c>
      <c r="BG566">
        <v>0</v>
      </c>
      <c r="BH566">
        <v>0</v>
      </c>
      <c r="BI566">
        <v>0</v>
      </c>
      <c r="BJ566">
        <v>0</v>
      </c>
      <c r="BK566">
        <v>0</v>
      </c>
      <c r="BL566">
        <v>0</v>
      </c>
      <c r="BM566">
        <v>0</v>
      </c>
      <c r="BN566">
        <v>0</v>
      </c>
      <c r="BO566">
        <v>0</v>
      </c>
      <c r="BP566">
        <v>0</v>
      </c>
      <c r="BQ566">
        <v>0</v>
      </c>
      <c r="BR566">
        <v>0</v>
      </c>
      <c r="BS566">
        <v>0</v>
      </c>
      <c r="BT566">
        <v>0</v>
      </c>
      <c r="BU566">
        <v>0</v>
      </c>
      <c r="BV566">
        <v>0</v>
      </c>
      <c r="BW566">
        <v>0</v>
      </c>
      <c r="BX566">
        <v>0</v>
      </c>
      <c r="BY566">
        <v>0</v>
      </c>
      <c r="BZ566">
        <v>0</v>
      </c>
      <c r="CA566">
        <v>0</v>
      </c>
      <c r="CB566">
        <v>0</v>
      </c>
    </row>
    <row r="567" spans="1:80" x14ac:dyDescent="0.2">
      <c r="A567">
        <v>0</v>
      </c>
      <c r="B567">
        <v>0</v>
      </c>
      <c r="C567">
        <v>0</v>
      </c>
      <c r="D567">
        <v>0</v>
      </c>
      <c r="E567">
        <v>0</v>
      </c>
      <c r="F567">
        <v>0</v>
      </c>
      <c r="G567">
        <v>0</v>
      </c>
      <c r="H567">
        <v>0</v>
      </c>
      <c r="I567">
        <v>0</v>
      </c>
      <c r="J567">
        <v>0</v>
      </c>
      <c r="K567">
        <v>0</v>
      </c>
      <c r="L567">
        <v>0</v>
      </c>
      <c r="M567">
        <v>0</v>
      </c>
      <c r="N567">
        <v>0</v>
      </c>
      <c r="O567">
        <v>0</v>
      </c>
      <c r="P567">
        <v>0</v>
      </c>
      <c r="Q567">
        <v>0</v>
      </c>
      <c r="R567">
        <v>0</v>
      </c>
      <c r="S567">
        <v>0</v>
      </c>
      <c r="T567">
        <v>0</v>
      </c>
      <c r="U567">
        <v>0</v>
      </c>
      <c r="V567">
        <v>0</v>
      </c>
      <c r="W567">
        <v>0</v>
      </c>
      <c r="X567">
        <v>0</v>
      </c>
      <c r="Y567">
        <v>0</v>
      </c>
      <c r="Z567">
        <v>0</v>
      </c>
      <c r="AA567">
        <v>0</v>
      </c>
      <c r="AB567">
        <v>0</v>
      </c>
      <c r="AC567">
        <v>0</v>
      </c>
      <c r="AD567">
        <v>0</v>
      </c>
      <c r="AE567">
        <v>0</v>
      </c>
      <c r="AF567">
        <v>0</v>
      </c>
      <c r="AG567">
        <v>0</v>
      </c>
      <c r="AH567">
        <v>0</v>
      </c>
      <c r="AI567">
        <v>0</v>
      </c>
      <c r="AJ567">
        <v>0</v>
      </c>
      <c r="AK567">
        <v>0</v>
      </c>
      <c r="AL567">
        <v>0</v>
      </c>
      <c r="AM567">
        <v>0</v>
      </c>
      <c r="AN567">
        <v>0</v>
      </c>
      <c r="AO567">
        <v>0</v>
      </c>
      <c r="AP567">
        <v>0</v>
      </c>
      <c r="AQ567">
        <v>0</v>
      </c>
      <c r="AR567">
        <v>0</v>
      </c>
      <c r="AS567">
        <v>0</v>
      </c>
      <c r="AT567">
        <v>0</v>
      </c>
      <c r="AU567">
        <v>0</v>
      </c>
      <c r="AV567">
        <v>0</v>
      </c>
      <c r="AW567">
        <v>0</v>
      </c>
      <c r="AX567">
        <v>0</v>
      </c>
      <c r="AY567">
        <v>0</v>
      </c>
      <c r="AZ567">
        <v>0</v>
      </c>
      <c r="BA567">
        <v>0</v>
      </c>
      <c r="BB567">
        <v>0</v>
      </c>
      <c r="BC567">
        <v>0</v>
      </c>
      <c r="BD567">
        <v>0</v>
      </c>
      <c r="BE567">
        <v>0</v>
      </c>
      <c r="BF567">
        <v>0</v>
      </c>
      <c r="BG567">
        <v>0</v>
      </c>
      <c r="BH567">
        <v>0</v>
      </c>
      <c r="BI567">
        <v>0</v>
      </c>
      <c r="BJ567">
        <v>0</v>
      </c>
      <c r="BK567">
        <v>0</v>
      </c>
      <c r="BL567">
        <v>0</v>
      </c>
      <c r="BM567">
        <v>0</v>
      </c>
      <c r="BN567">
        <v>0</v>
      </c>
      <c r="BO567">
        <v>0</v>
      </c>
      <c r="BP567">
        <v>0</v>
      </c>
      <c r="BQ567">
        <v>0</v>
      </c>
      <c r="BR567">
        <v>0</v>
      </c>
      <c r="BS567">
        <v>0</v>
      </c>
      <c r="BT567">
        <v>0</v>
      </c>
      <c r="BU567">
        <v>0</v>
      </c>
      <c r="BV567">
        <v>0</v>
      </c>
      <c r="BW567">
        <v>0</v>
      </c>
      <c r="BX567">
        <v>0</v>
      </c>
      <c r="BY567">
        <v>0</v>
      </c>
      <c r="BZ567">
        <v>0</v>
      </c>
      <c r="CA567">
        <v>0</v>
      </c>
      <c r="CB567">
        <v>0</v>
      </c>
    </row>
    <row r="568" spans="1:80" x14ac:dyDescent="0.2">
      <c r="A568">
        <v>0</v>
      </c>
      <c r="B568">
        <v>0</v>
      </c>
      <c r="C568">
        <v>0</v>
      </c>
      <c r="D568">
        <v>0</v>
      </c>
      <c r="E568">
        <v>0</v>
      </c>
      <c r="F568">
        <v>0</v>
      </c>
      <c r="G568">
        <v>0</v>
      </c>
      <c r="H568">
        <v>0</v>
      </c>
      <c r="I568">
        <v>0</v>
      </c>
      <c r="J568">
        <v>0</v>
      </c>
      <c r="K568">
        <v>0</v>
      </c>
      <c r="L568">
        <v>0</v>
      </c>
      <c r="M568">
        <v>0</v>
      </c>
      <c r="N568">
        <v>0</v>
      </c>
      <c r="O568">
        <v>0</v>
      </c>
      <c r="P568">
        <v>0</v>
      </c>
      <c r="Q568">
        <v>0</v>
      </c>
      <c r="R568">
        <v>0</v>
      </c>
      <c r="S568">
        <v>0</v>
      </c>
      <c r="T568">
        <v>0</v>
      </c>
      <c r="U568">
        <v>0</v>
      </c>
      <c r="V568">
        <v>0</v>
      </c>
      <c r="W568">
        <v>0</v>
      </c>
      <c r="X568">
        <v>0</v>
      </c>
      <c r="Y568">
        <v>0</v>
      </c>
      <c r="Z568">
        <v>0</v>
      </c>
      <c r="AA568">
        <v>0</v>
      </c>
      <c r="AB568">
        <v>0</v>
      </c>
      <c r="AC568">
        <v>0</v>
      </c>
      <c r="AD568">
        <v>0</v>
      </c>
      <c r="AE568">
        <v>0</v>
      </c>
      <c r="AF568">
        <v>0</v>
      </c>
      <c r="AG568">
        <v>0</v>
      </c>
      <c r="AH568">
        <v>0</v>
      </c>
      <c r="AI568">
        <v>0</v>
      </c>
      <c r="AJ568">
        <v>0</v>
      </c>
      <c r="AK568">
        <v>0</v>
      </c>
      <c r="AL568">
        <v>0</v>
      </c>
      <c r="AM568">
        <v>0</v>
      </c>
      <c r="AN568">
        <v>0</v>
      </c>
      <c r="AO568">
        <v>0</v>
      </c>
      <c r="AP568">
        <v>0</v>
      </c>
      <c r="AQ568">
        <v>0</v>
      </c>
      <c r="AR568">
        <v>0</v>
      </c>
      <c r="AS568">
        <v>0</v>
      </c>
      <c r="AT568">
        <v>0</v>
      </c>
      <c r="AU568">
        <v>0</v>
      </c>
      <c r="AV568">
        <v>0</v>
      </c>
      <c r="AW568">
        <v>0</v>
      </c>
      <c r="AX568">
        <v>0</v>
      </c>
      <c r="AY568">
        <v>0</v>
      </c>
      <c r="AZ568">
        <v>0</v>
      </c>
      <c r="BA568">
        <v>0</v>
      </c>
      <c r="BB568">
        <v>0</v>
      </c>
      <c r="BC568">
        <v>0</v>
      </c>
      <c r="BD568">
        <v>0</v>
      </c>
      <c r="BE568">
        <v>0</v>
      </c>
      <c r="BF568">
        <v>0</v>
      </c>
      <c r="BG568">
        <v>0</v>
      </c>
      <c r="BH568">
        <v>0</v>
      </c>
      <c r="BI568">
        <v>0</v>
      </c>
      <c r="BJ568">
        <v>0</v>
      </c>
      <c r="BK568">
        <v>0</v>
      </c>
      <c r="BL568">
        <v>0</v>
      </c>
      <c r="BM568">
        <v>0</v>
      </c>
      <c r="BN568">
        <v>0</v>
      </c>
      <c r="BO568">
        <v>0</v>
      </c>
      <c r="BP568">
        <v>0</v>
      </c>
      <c r="BQ568">
        <v>0</v>
      </c>
      <c r="BR568">
        <v>0</v>
      </c>
      <c r="BS568">
        <v>0</v>
      </c>
      <c r="BT568">
        <v>0</v>
      </c>
      <c r="BU568">
        <v>0</v>
      </c>
      <c r="BV568">
        <v>0</v>
      </c>
      <c r="BW568">
        <v>0</v>
      </c>
      <c r="BX568">
        <v>0</v>
      </c>
      <c r="BY568">
        <v>0</v>
      </c>
      <c r="BZ568">
        <v>0</v>
      </c>
      <c r="CA568">
        <v>0</v>
      </c>
      <c r="CB568">
        <v>0</v>
      </c>
    </row>
    <row r="569" spans="1:80" x14ac:dyDescent="0.2">
      <c r="A569">
        <v>0</v>
      </c>
      <c r="B569">
        <v>0</v>
      </c>
      <c r="C569">
        <v>0</v>
      </c>
      <c r="D569">
        <v>0</v>
      </c>
      <c r="E569">
        <v>0</v>
      </c>
      <c r="F569">
        <v>0</v>
      </c>
      <c r="G569">
        <v>0</v>
      </c>
      <c r="H569">
        <v>0</v>
      </c>
      <c r="I569">
        <v>0</v>
      </c>
      <c r="J569">
        <v>0</v>
      </c>
      <c r="K569">
        <v>0</v>
      </c>
      <c r="L569">
        <v>0</v>
      </c>
      <c r="M569">
        <v>0</v>
      </c>
      <c r="N569">
        <v>0</v>
      </c>
      <c r="O569">
        <v>0</v>
      </c>
      <c r="P569">
        <v>0</v>
      </c>
      <c r="Q569">
        <v>0</v>
      </c>
      <c r="R569">
        <v>0</v>
      </c>
      <c r="S569">
        <v>0</v>
      </c>
      <c r="T569">
        <v>0</v>
      </c>
      <c r="U569">
        <v>0</v>
      </c>
      <c r="V569">
        <v>0</v>
      </c>
      <c r="W569">
        <v>0</v>
      </c>
      <c r="X569">
        <v>0</v>
      </c>
      <c r="Y569">
        <v>0</v>
      </c>
      <c r="Z569">
        <v>0</v>
      </c>
      <c r="AA569">
        <v>0</v>
      </c>
      <c r="AB569">
        <v>0</v>
      </c>
      <c r="AC569">
        <v>0</v>
      </c>
      <c r="AD569">
        <v>0</v>
      </c>
      <c r="AE569">
        <v>0</v>
      </c>
      <c r="AF569">
        <v>0</v>
      </c>
      <c r="AG569">
        <v>0</v>
      </c>
      <c r="AH569">
        <v>0</v>
      </c>
      <c r="AI569">
        <v>0</v>
      </c>
      <c r="AJ569">
        <v>0</v>
      </c>
      <c r="AK569">
        <v>0</v>
      </c>
      <c r="AL569">
        <v>0</v>
      </c>
      <c r="AM569">
        <v>0</v>
      </c>
      <c r="AN569">
        <v>0</v>
      </c>
      <c r="AO569">
        <v>0</v>
      </c>
      <c r="AP569">
        <v>0</v>
      </c>
      <c r="AQ569">
        <v>0</v>
      </c>
      <c r="AR569">
        <v>0</v>
      </c>
      <c r="AS569">
        <v>0</v>
      </c>
      <c r="AT569">
        <v>0</v>
      </c>
      <c r="AU569">
        <v>0</v>
      </c>
      <c r="AV569">
        <v>0</v>
      </c>
      <c r="AW569">
        <v>0</v>
      </c>
      <c r="AX569">
        <v>0</v>
      </c>
      <c r="AY569">
        <v>0</v>
      </c>
      <c r="AZ569">
        <v>0</v>
      </c>
      <c r="BA569">
        <v>0</v>
      </c>
      <c r="BB569">
        <v>0</v>
      </c>
      <c r="BC569">
        <v>0</v>
      </c>
      <c r="BD569">
        <v>0</v>
      </c>
      <c r="BE569">
        <v>0</v>
      </c>
      <c r="BF569">
        <v>0</v>
      </c>
      <c r="BG569">
        <v>0</v>
      </c>
      <c r="BH569">
        <v>0</v>
      </c>
      <c r="BI569">
        <v>0</v>
      </c>
      <c r="BJ569">
        <v>0</v>
      </c>
      <c r="BK569">
        <v>0</v>
      </c>
      <c r="BL569">
        <v>0</v>
      </c>
      <c r="BM569">
        <v>0</v>
      </c>
      <c r="BN569">
        <v>0</v>
      </c>
      <c r="BO569">
        <v>0</v>
      </c>
      <c r="BP569">
        <v>0</v>
      </c>
      <c r="BQ569">
        <v>0</v>
      </c>
      <c r="BR569">
        <v>0</v>
      </c>
      <c r="BS569">
        <v>0</v>
      </c>
      <c r="BT569">
        <v>0</v>
      </c>
      <c r="BU569">
        <v>0</v>
      </c>
      <c r="BV569">
        <v>0</v>
      </c>
      <c r="BW569">
        <v>0</v>
      </c>
      <c r="BX569">
        <v>0</v>
      </c>
      <c r="BY569">
        <v>0</v>
      </c>
      <c r="BZ569">
        <v>0</v>
      </c>
      <c r="CA569">
        <v>0</v>
      </c>
      <c r="CB569">
        <v>0</v>
      </c>
    </row>
    <row r="570" spans="1:80" x14ac:dyDescent="0.2">
      <c r="A570">
        <v>0</v>
      </c>
      <c r="B570">
        <v>0</v>
      </c>
      <c r="C570">
        <v>0</v>
      </c>
      <c r="D570">
        <v>0</v>
      </c>
      <c r="E570">
        <v>0</v>
      </c>
      <c r="F570">
        <v>0</v>
      </c>
      <c r="G570">
        <v>0</v>
      </c>
      <c r="H570">
        <v>0</v>
      </c>
      <c r="I570">
        <v>0</v>
      </c>
      <c r="J570">
        <v>0</v>
      </c>
      <c r="K570">
        <v>0</v>
      </c>
      <c r="L570">
        <v>0</v>
      </c>
      <c r="M570">
        <v>0</v>
      </c>
      <c r="N570">
        <v>0</v>
      </c>
      <c r="O570">
        <v>0</v>
      </c>
      <c r="P570">
        <v>0</v>
      </c>
      <c r="Q570">
        <v>0</v>
      </c>
      <c r="R570">
        <v>0</v>
      </c>
      <c r="S570">
        <v>0</v>
      </c>
      <c r="T570">
        <v>0</v>
      </c>
      <c r="U570">
        <v>0</v>
      </c>
      <c r="V570">
        <v>0</v>
      </c>
      <c r="W570">
        <v>0</v>
      </c>
      <c r="X570">
        <v>0</v>
      </c>
      <c r="Y570">
        <v>0</v>
      </c>
      <c r="Z570">
        <v>0</v>
      </c>
      <c r="AA570">
        <v>0</v>
      </c>
      <c r="AB570">
        <v>0</v>
      </c>
      <c r="AC570">
        <v>0</v>
      </c>
      <c r="AD570">
        <v>0</v>
      </c>
      <c r="AE570">
        <v>0</v>
      </c>
      <c r="AF570">
        <v>0</v>
      </c>
      <c r="AG570">
        <v>0</v>
      </c>
      <c r="AH570">
        <v>0</v>
      </c>
      <c r="AI570">
        <v>0</v>
      </c>
      <c r="AJ570">
        <v>0</v>
      </c>
      <c r="AK570">
        <v>0</v>
      </c>
      <c r="AL570">
        <v>0</v>
      </c>
      <c r="AM570">
        <v>0</v>
      </c>
      <c r="AN570">
        <v>0</v>
      </c>
      <c r="AO570">
        <v>0</v>
      </c>
      <c r="AP570">
        <v>0</v>
      </c>
      <c r="AQ570">
        <v>0</v>
      </c>
      <c r="AR570">
        <v>0</v>
      </c>
      <c r="AS570">
        <v>0</v>
      </c>
      <c r="AT570">
        <v>0</v>
      </c>
      <c r="AU570">
        <v>0</v>
      </c>
      <c r="AV570">
        <v>0</v>
      </c>
      <c r="AW570">
        <v>0</v>
      </c>
      <c r="AX570">
        <v>0</v>
      </c>
      <c r="AY570">
        <v>0</v>
      </c>
      <c r="AZ570">
        <v>0</v>
      </c>
      <c r="BA570">
        <v>0</v>
      </c>
      <c r="BB570">
        <v>0</v>
      </c>
      <c r="BC570">
        <v>0</v>
      </c>
      <c r="BD570">
        <v>0</v>
      </c>
      <c r="BE570">
        <v>0</v>
      </c>
      <c r="BF570">
        <v>0</v>
      </c>
      <c r="BG570">
        <v>0</v>
      </c>
      <c r="BH570">
        <v>0</v>
      </c>
      <c r="BI570">
        <v>0</v>
      </c>
      <c r="BJ570">
        <v>0</v>
      </c>
      <c r="BK570">
        <v>0</v>
      </c>
      <c r="BL570">
        <v>0</v>
      </c>
      <c r="BM570">
        <v>0</v>
      </c>
      <c r="BN570">
        <v>0</v>
      </c>
      <c r="BO570">
        <v>0</v>
      </c>
      <c r="BP570">
        <v>0</v>
      </c>
      <c r="BQ570">
        <v>0</v>
      </c>
      <c r="BR570">
        <v>0</v>
      </c>
      <c r="BS570">
        <v>0</v>
      </c>
      <c r="BT570">
        <v>0</v>
      </c>
      <c r="BU570">
        <v>0</v>
      </c>
      <c r="BV570">
        <v>0</v>
      </c>
      <c r="BW570">
        <v>0</v>
      </c>
      <c r="BX570">
        <v>0</v>
      </c>
      <c r="BY570">
        <v>0</v>
      </c>
      <c r="BZ570">
        <v>0</v>
      </c>
      <c r="CA570">
        <v>0</v>
      </c>
      <c r="CB570">
        <v>0</v>
      </c>
    </row>
    <row r="571" spans="1:80" x14ac:dyDescent="0.2">
      <c r="A571">
        <v>0</v>
      </c>
      <c r="B571">
        <v>0</v>
      </c>
      <c r="C571">
        <v>0</v>
      </c>
      <c r="D571">
        <v>0</v>
      </c>
      <c r="E571">
        <v>0</v>
      </c>
      <c r="F571">
        <v>0</v>
      </c>
      <c r="G571">
        <v>0</v>
      </c>
      <c r="H571">
        <v>0</v>
      </c>
      <c r="I571">
        <v>0</v>
      </c>
      <c r="J571">
        <v>0</v>
      </c>
      <c r="K571">
        <v>0</v>
      </c>
      <c r="L571">
        <v>0</v>
      </c>
      <c r="M571">
        <v>0</v>
      </c>
      <c r="N571">
        <v>0</v>
      </c>
      <c r="O571">
        <v>0</v>
      </c>
      <c r="P571">
        <v>0</v>
      </c>
      <c r="Q571">
        <v>0</v>
      </c>
      <c r="R571">
        <v>0</v>
      </c>
      <c r="S571">
        <v>0</v>
      </c>
      <c r="T571">
        <v>0</v>
      </c>
      <c r="U571">
        <v>0</v>
      </c>
      <c r="V571">
        <v>0</v>
      </c>
      <c r="W571">
        <v>0</v>
      </c>
      <c r="X571">
        <v>0</v>
      </c>
      <c r="Y571">
        <v>0</v>
      </c>
      <c r="Z571">
        <v>0</v>
      </c>
      <c r="AA571">
        <v>0</v>
      </c>
      <c r="AB571">
        <v>0</v>
      </c>
      <c r="AC571">
        <v>0</v>
      </c>
      <c r="AD571">
        <v>0</v>
      </c>
      <c r="AE571">
        <v>0</v>
      </c>
      <c r="AF571">
        <v>0</v>
      </c>
      <c r="AG571">
        <v>0</v>
      </c>
      <c r="AH571">
        <v>0</v>
      </c>
      <c r="AI571">
        <v>0</v>
      </c>
      <c r="AJ571">
        <v>0</v>
      </c>
      <c r="AK571">
        <v>0</v>
      </c>
      <c r="AL571">
        <v>0</v>
      </c>
      <c r="AM571">
        <v>0</v>
      </c>
      <c r="AN571">
        <v>0</v>
      </c>
      <c r="AO571">
        <v>0</v>
      </c>
      <c r="AP571">
        <v>0</v>
      </c>
      <c r="AQ571">
        <v>0</v>
      </c>
      <c r="AR571">
        <v>0</v>
      </c>
      <c r="AS571">
        <v>0</v>
      </c>
      <c r="AT571">
        <v>0</v>
      </c>
      <c r="AU571">
        <v>0</v>
      </c>
      <c r="AV571">
        <v>0</v>
      </c>
      <c r="AW571">
        <v>0</v>
      </c>
      <c r="AX571">
        <v>0</v>
      </c>
      <c r="AY571">
        <v>0</v>
      </c>
      <c r="AZ571">
        <v>0</v>
      </c>
      <c r="BA571">
        <v>0</v>
      </c>
      <c r="BB571">
        <v>0</v>
      </c>
      <c r="BC571">
        <v>0</v>
      </c>
      <c r="BD571">
        <v>0</v>
      </c>
      <c r="BE571">
        <v>0</v>
      </c>
      <c r="BF571">
        <v>0</v>
      </c>
      <c r="BG571">
        <v>0</v>
      </c>
      <c r="BH571">
        <v>0</v>
      </c>
      <c r="BI571">
        <v>0</v>
      </c>
      <c r="BJ571">
        <v>0</v>
      </c>
      <c r="BK571">
        <v>0</v>
      </c>
      <c r="BL571">
        <v>0</v>
      </c>
      <c r="BM571">
        <v>0</v>
      </c>
      <c r="BN571">
        <v>0</v>
      </c>
      <c r="BO571">
        <v>0</v>
      </c>
      <c r="BP571">
        <v>0</v>
      </c>
      <c r="BQ571">
        <v>0</v>
      </c>
      <c r="BR571">
        <v>0</v>
      </c>
      <c r="BS571">
        <v>0</v>
      </c>
      <c r="BT571">
        <v>0</v>
      </c>
      <c r="BU571">
        <v>0</v>
      </c>
      <c r="BV571">
        <v>0</v>
      </c>
      <c r="BW571">
        <v>0</v>
      </c>
      <c r="BX571">
        <v>0</v>
      </c>
      <c r="BY571">
        <v>0</v>
      </c>
      <c r="BZ571">
        <v>0</v>
      </c>
      <c r="CA571">
        <v>0</v>
      </c>
      <c r="CB571">
        <v>0</v>
      </c>
    </row>
    <row r="572" spans="1:80" x14ac:dyDescent="0.2">
      <c r="A572">
        <v>0</v>
      </c>
      <c r="B572">
        <v>0</v>
      </c>
      <c r="C572">
        <v>0</v>
      </c>
      <c r="D572">
        <v>0</v>
      </c>
      <c r="E572">
        <v>0</v>
      </c>
      <c r="F572">
        <v>0</v>
      </c>
      <c r="G572">
        <v>0</v>
      </c>
      <c r="H572">
        <v>0</v>
      </c>
      <c r="I572">
        <v>0</v>
      </c>
      <c r="J572">
        <v>0</v>
      </c>
      <c r="K572">
        <v>0</v>
      </c>
      <c r="L572">
        <v>0</v>
      </c>
      <c r="M572">
        <v>0</v>
      </c>
      <c r="N572">
        <v>0</v>
      </c>
      <c r="O572">
        <v>0</v>
      </c>
      <c r="P572">
        <v>0</v>
      </c>
      <c r="Q572">
        <v>0</v>
      </c>
      <c r="R572">
        <v>0</v>
      </c>
      <c r="S572">
        <v>0</v>
      </c>
      <c r="T572">
        <v>0</v>
      </c>
      <c r="U572">
        <v>0</v>
      </c>
      <c r="V572">
        <v>0</v>
      </c>
      <c r="W572">
        <v>0</v>
      </c>
      <c r="X572">
        <v>0</v>
      </c>
      <c r="Y572">
        <v>0</v>
      </c>
      <c r="Z572">
        <v>0</v>
      </c>
      <c r="AA572">
        <v>0</v>
      </c>
      <c r="AB572">
        <v>0</v>
      </c>
      <c r="AC572">
        <v>0</v>
      </c>
      <c r="AD572">
        <v>0</v>
      </c>
      <c r="AE572">
        <v>0</v>
      </c>
      <c r="AF572">
        <v>0</v>
      </c>
      <c r="AG572">
        <v>0</v>
      </c>
      <c r="AH572">
        <v>0</v>
      </c>
      <c r="AI572">
        <v>0</v>
      </c>
      <c r="AJ572">
        <v>0</v>
      </c>
      <c r="AK572">
        <v>0</v>
      </c>
      <c r="AL572">
        <v>0</v>
      </c>
      <c r="AM572">
        <v>0</v>
      </c>
      <c r="AN572">
        <v>0</v>
      </c>
      <c r="AO572">
        <v>0</v>
      </c>
      <c r="AP572">
        <v>0</v>
      </c>
      <c r="AQ572">
        <v>0</v>
      </c>
      <c r="AR572">
        <v>0</v>
      </c>
      <c r="AS572">
        <v>0</v>
      </c>
      <c r="AT572">
        <v>0</v>
      </c>
      <c r="AU572">
        <v>0</v>
      </c>
      <c r="AV572">
        <v>0</v>
      </c>
      <c r="AW572">
        <v>0</v>
      </c>
      <c r="AX572">
        <v>0</v>
      </c>
      <c r="AY572">
        <v>0</v>
      </c>
      <c r="AZ572">
        <v>0</v>
      </c>
      <c r="BA572">
        <v>0</v>
      </c>
      <c r="BB572">
        <v>0</v>
      </c>
      <c r="BC572">
        <v>0</v>
      </c>
      <c r="BD572">
        <v>0</v>
      </c>
      <c r="BE572">
        <v>0</v>
      </c>
      <c r="BF572">
        <v>0</v>
      </c>
      <c r="BG572">
        <v>0</v>
      </c>
      <c r="BH572">
        <v>0</v>
      </c>
      <c r="BI572">
        <v>0</v>
      </c>
      <c r="BJ572">
        <v>0</v>
      </c>
      <c r="BK572">
        <v>0</v>
      </c>
      <c r="BL572">
        <v>0</v>
      </c>
      <c r="BM572">
        <v>0</v>
      </c>
      <c r="BN572">
        <v>0</v>
      </c>
      <c r="BO572">
        <v>0</v>
      </c>
      <c r="BP572">
        <v>0</v>
      </c>
      <c r="BQ572">
        <v>0</v>
      </c>
      <c r="BR572">
        <v>0</v>
      </c>
      <c r="BS572">
        <v>0</v>
      </c>
      <c r="BT572">
        <v>0</v>
      </c>
      <c r="BU572">
        <v>0</v>
      </c>
      <c r="BV572">
        <v>0</v>
      </c>
      <c r="BW572">
        <v>0</v>
      </c>
      <c r="BX572">
        <v>0</v>
      </c>
      <c r="BY572">
        <v>0</v>
      </c>
      <c r="BZ572">
        <v>0</v>
      </c>
      <c r="CA572">
        <v>0</v>
      </c>
      <c r="CB572">
        <v>0</v>
      </c>
    </row>
    <row r="573" spans="1:80" x14ac:dyDescent="0.2">
      <c r="A573">
        <v>0</v>
      </c>
      <c r="B573">
        <v>0</v>
      </c>
      <c r="C573">
        <v>0</v>
      </c>
      <c r="D573">
        <v>0</v>
      </c>
      <c r="E573">
        <v>0</v>
      </c>
      <c r="F573">
        <v>0</v>
      </c>
      <c r="G573">
        <v>0</v>
      </c>
      <c r="H573">
        <v>0</v>
      </c>
      <c r="I573">
        <v>0</v>
      </c>
      <c r="J573">
        <v>0</v>
      </c>
      <c r="K573">
        <v>0</v>
      </c>
      <c r="L573">
        <v>0</v>
      </c>
      <c r="M573">
        <v>0</v>
      </c>
      <c r="N573">
        <v>0</v>
      </c>
      <c r="O573">
        <v>0</v>
      </c>
      <c r="P573">
        <v>0</v>
      </c>
      <c r="Q573">
        <v>0</v>
      </c>
      <c r="R573">
        <v>0</v>
      </c>
      <c r="S573">
        <v>0</v>
      </c>
      <c r="T573">
        <v>0</v>
      </c>
      <c r="U573">
        <v>0</v>
      </c>
      <c r="V573">
        <v>0</v>
      </c>
      <c r="W573">
        <v>0</v>
      </c>
      <c r="X573">
        <v>0</v>
      </c>
      <c r="Y573">
        <v>0</v>
      </c>
      <c r="Z573">
        <v>0</v>
      </c>
      <c r="AA573">
        <v>0</v>
      </c>
      <c r="AB573">
        <v>0</v>
      </c>
      <c r="AC573">
        <v>0</v>
      </c>
      <c r="AD573">
        <v>0</v>
      </c>
      <c r="AE573">
        <v>0</v>
      </c>
      <c r="AF573">
        <v>0</v>
      </c>
      <c r="AG573">
        <v>0</v>
      </c>
      <c r="AH573">
        <v>0</v>
      </c>
      <c r="AI573">
        <v>0</v>
      </c>
      <c r="AJ573">
        <v>0</v>
      </c>
      <c r="AK573">
        <v>0</v>
      </c>
      <c r="AL573">
        <v>0</v>
      </c>
      <c r="AM573">
        <v>0</v>
      </c>
      <c r="AN573">
        <v>0</v>
      </c>
      <c r="AO573">
        <v>0</v>
      </c>
      <c r="AP573">
        <v>0</v>
      </c>
      <c r="AQ573">
        <v>0</v>
      </c>
      <c r="AR573">
        <v>0</v>
      </c>
      <c r="AS573">
        <v>0</v>
      </c>
      <c r="AT573">
        <v>0</v>
      </c>
      <c r="AU573">
        <v>0</v>
      </c>
      <c r="AV573">
        <v>0</v>
      </c>
      <c r="AW573">
        <v>0</v>
      </c>
      <c r="AX573">
        <v>0</v>
      </c>
      <c r="AY573">
        <v>0</v>
      </c>
      <c r="AZ573">
        <v>0</v>
      </c>
      <c r="BA573">
        <v>0</v>
      </c>
      <c r="BB573">
        <v>0</v>
      </c>
      <c r="BC573">
        <v>0</v>
      </c>
      <c r="BD573">
        <v>0</v>
      </c>
      <c r="BE573">
        <v>0</v>
      </c>
      <c r="BF573">
        <v>0</v>
      </c>
      <c r="BG573">
        <v>0</v>
      </c>
      <c r="BH573">
        <v>0</v>
      </c>
      <c r="BI573">
        <v>0</v>
      </c>
      <c r="BJ573">
        <v>0</v>
      </c>
      <c r="BK573">
        <v>0</v>
      </c>
      <c r="BL573">
        <v>0</v>
      </c>
      <c r="BM573">
        <v>0</v>
      </c>
      <c r="BN573">
        <v>0</v>
      </c>
      <c r="BO573">
        <v>0</v>
      </c>
      <c r="BP573">
        <v>0</v>
      </c>
      <c r="BQ573">
        <v>0</v>
      </c>
      <c r="BR573">
        <v>0</v>
      </c>
      <c r="BS573">
        <v>0</v>
      </c>
      <c r="BT573">
        <v>0</v>
      </c>
      <c r="BU573">
        <v>0</v>
      </c>
      <c r="BV573">
        <v>0</v>
      </c>
      <c r="BW573">
        <v>0</v>
      </c>
      <c r="BX573">
        <v>0</v>
      </c>
      <c r="BY573">
        <v>0</v>
      </c>
      <c r="BZ573">
        <v>0</v>
      </c>
      <c r="CA573">
        <v>0</v>
      </c>
      <c r="CB573">
        <v>0</v>
      </c>
    </row>
    <row r="574" spans="1:80" x14ac:dyDescent="0.2">
      <c r="A574">
        <v>0</v>
      </c>
      <c r="B574">
        <v>0</v>
      </c>
      <c r="C574">
        <v>0</v>
      </c>
      <c r="D574">
        <v>0</v>
      </c>
      <c r="E574">
        <v>0</v>
      </c>
      <c r="F574">
        <v>0</v>
      </c>
      <c r="G574">
        <v>0</v>
      </c>
      <c r="H574">
        <v>0</v>
      </c>
      <c r="I574">
        <v>0</v>
      </c>
      <c r="J574">
        <v>0</v>
      </c>
      <c r="K574">
        <v>0</v>
      </c>
      <c r="L574">
        <v>0</v>
      </c>
      <c r="M574">
        <v>0</v>
      </c>
      <c r="N574">
        <v>0</v>
      </c>
      <c r="O574">
        <v>0</v>
      </c>
      <c r="P574">
        <v>0</v>
      </c>
      <c r="Q574">
        <v>0</v>
      </c>
      <c r="R574">
        <v>0</v>
      </c>
      <c r="S574">
        <v>0</v>
      </c>
      <c r="T574">
        <v>0</v>
      </c>
      <c r="U574">
        <v>0</v>
      </c>
      <c r="V574">
        <v>0</v>
      </c>
      <c r="W574">
        <v>0</v>
      </c>
      <c r="X574">
        <v>0</v>
      </c>
      <c r="Y574">
        <v>0</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v>0</v>
      </c>
      <c r="AS574">
        <v>0</v>
      </c>
      <c r="AT574">
        <v>0</v>
      </c>
      <c r="AU574">
        <v>0</v>
      </c>
      <c r="AV574">
        <v>0</v>
      </c>
      <c r="AW574">
        <v>0</v>
      </c>
      <c r="AX574">
        <v>0</v>
      </c>
      <c r="AY574">
        <v>0</v>
      </c>
      <c r="AZ574">
        <v>0</v>
      </c>
      <c r="BA574">
        <v>0</v>
      </c>
      <c r="BB574">
        <v>0</v>
      </c>
      <c r="BC574">
        <v>0</v>
      </c>
      <c r="BD574">
        <v>0</v>
      </c>
      <c r="BE574">
        <v>0</v>
      </c>
      <c r="BF574">
        <v>0</v>
      </c>
      <c r="BG574">
        <v>0</v>
      </c>
      <c r="BH574">
        <v>0</v>
      </c>
      <c r="BI574">
        <v>0</v>
      </c>
      <c r="BJ574">
        <v>0</v>
      </c>
      <c r="BK574">
        <v>0</v>
      </c>
      <c r="BL574">
        <v>0</v>
      </c>
      <c r="BM574">
        <v>0</v>
      </c>
      <c r="BN574">
        <v>0</v>
      </c>
      <c r="BO574">
        <v>0</v>
      </c>
      <c r="BP574">
        <v>0</v>
      </c>
      <c r="BQ574">
        <v>0</v>
      </c>
      <c r="BR574">
        <v>0</v>
      </c>
      <c r="BS574">
        <v>0</v>
      </c>
      <c r="BT574">
        <v>0</v>
      </c>
      <c r="BU574">
        <v>0</v>
      </c>
      <c r="BV574">
        <v>0</v>
      </c>
      <c r="BW574">
        <v>0</v>
      </c>
      <c r="BX574">
        <v>0</v>
      </c>
      <c r="BY574">
        <v>0</v>
      </c>
      <c r="BZ574">
        <v>0</v>
      </c>
      <c r="CA574">
        <v>0</v>
      </c>
      <c r="CB574">
        <v>0</v>
      </c>
    </row>
    <row r="575" spans="1:80" x14ac:dyDescent="0.2">
      <c r="A575">
        <v>0</v>
      </c>
      <c r="B575">
        <v>0</v>
      </c>
      <c r="C575">
        <v>0</v>
      </c>
      <c r="D575">
        <v>0</v>
      </c>
      <c r="E575">
        <v>0</v>
      </c>
      <c r="F575">
        <v>0</v>
      </c>
      <c r="G575">
        <v>0</v>
      </c>
      <c r="H575">
        <v>0</v>
      </c>
      <c r="I575">
        <v>0</v>
      </c>
      <c r="J575">
        <v>0</v>
      </c>
      <c r="K575">
        <v>0</v>
      </c>
      <c r="L575">
        <v>0</v>
      </c>
      <c r="M575">
        <v>0</v>
      </c>
      <c r="N575">
        <v>0</v>
      </c>
      <c r="O575">
        <v>0</v>
      </c>
      <c r="P575">
        <v>0</v>
      </c>
      <c r="Q575">
        <v>0</v>
      </c>
      <c r="R575">
        <v>0</v>
      </c>
      <c r="S575">
        <v>0</v>
      </c>
      <c r="T575">
        <v>0</v>
      </c>
      <c r="U575">
        <v>0</v>
      </c>
      <c r="V575">
        <v>0</v>
      </c>
      <c r="W575">
        <v>0</v>
      </c>
      <c r="X575">
        <v>0</v>
      </c>
      <c r="Y575">
        <v>0</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v>0</v>
      </c>
      <c r="AS575">
        <v>0</v>
      </c>
      <c r="AT575">
        <v>0</v>
      </c>
      <c r="AU575">
        <v>0</v>
      </c>
      <c r="AV575">
        <v>0</v>
      </c>
      <c r="AW575">
        <v>0</v>
      </c>
      <c r="AX575">
        <v>0</v>
      </c>
      <c r="AY575">
        <v>0</v>
      </c>
      <c r="AZ575">
        <v>0</v>
      </c>
      <c r="BA575">
        <v>0</v>
      </c>
      <c r="BB575">
        <v>0</v>
      </c>
      <c r="BC575">
        <v>0</v>
      </c>
      <c r="BD575">
        <v>0</v>
      </c>
      <c r="BE575">
        <v>0</v>
      </c>
      <c r="BF575">
        <v>0</v>
      </c>
      <c r="BG575">
        <v>0</v>
      </c>
      <c r="BH575">
        <v>0</v>
      </c>
      <c r="BI575">
        <v>0</v>
      </c>
      <c r="BJ575">
        <v>0</v>
      </c>
      <c r="BK575">
        <v>0</v>
      </c>
      <c r="BL575">
        <v>0</v>
      </c>
      <c r="BM575">
        <v>0</v>
      </c>
      <c r="BN575">
        <v>0</v>
      </c>
      <c r="BO575">
        <v>0</v>
      </c>
      <c r="BP575">
        <v>0</v>
      </c>
      <c r="BQ575">
        <v>0</v>
      </c>
      <c r="BR575">
        <v>0</v>
      </c>
      <c r="BS575">
        <v>0</v>
      </c>
      <c r="BT575">
        <v>0</v>
      </c>
      <c r="BU575">
        <v>0</v>
      </c>
      <c r="BV575">
        <v>0</v>
      </c>
      <c r="BW575">
        <v>0</v>
      </c>
      <c r="BX575">
        <v>0</v>
      </c>
      <c r="BY575">
        <v>0</v>
      </c>
      <c r="BZ575">
        <v>0</v>
      </c>
      <c r="CA575">
        <v>0</v>
      </c>
      <c r="CB575">
        <v>0</v>
      </c>
    </row>
    <row r="576" spans="1:80" x14ac:dyDescent="0.2">
      <c r="A576">
        <v>0</v>
      </c>
      <c r="B576">
        <v>0</v>
      </c>
      <c r="C576">
        <v>0</v>
      </c>
      <c r="D576">
        <v>0</v>
      </c>
      <c r="E576">
        <v>0</v>
      </c>
      <c r="F576">
        <v>0</v>
      </c>
      <c r="G576">
        <v>0</v>
      </c>
      <c r="H576">
        <v>0</v>
      </c>
      <c r="I576">
        <v>0</v>
      </c>
      <c r="J576">
        <v>0</v>
      </c>
      <c r="K576">
        <v>0</v>
      </c>
      <c r="L576">
        <v>0</v>
      </c>
      <c r="M576">
        <v>0</v>
      </c>
      <c r="N576">
        <v>0</v>
      </c>
      <c r="O576">
        <v>0</v>
      </c>
      <c r="P576">
        <v>0</v>
      </c>
      <c r="Q576">
        <v>0</v>
      </c>
      <c r="R576">
        <v>0</v>
      </c>
      <c r="S576">
        <v>0</v>
      </c>
      <c r="T576">
        <v>0</v>
      </c>
      <c r="U576">
        <v>0</v>
      </c>
      <c r="V576">
        <v>0</v>
      </c>
      <c r="W576">
        <v>0</v>
      </c>
      <c r="X576">
        <v>0</v>
      </c>
      <c r="Y576">
        <v>0</v>
      </c>
      <c r="Z576">
        <v>0</v>
      </c>
      <c r="AA576">
        <v>0</v>
      </c>
      <c r="AB576">
        <v>0</v>
      </c>
      <c r="AC576">
        <v>0</v>
      </c>
      <c r="AD576">
        <v>0</v>
      </c>
      <c r="AE576">
        <v>0</v>
      </c>
      <c r="AF576">
        <v>0</v>
      </c>
      <c r="AG576">
        <v>0</v>
      </c>
      <c r="AH576">
        <v>0</v>
      </c>
      <c r="AI576">
        <v>0</v>
      </c>
      <c r="AJ576">
        <v>0</v>
      </c>
      <c r="AK576">
        <v>0</v>
      </c>
      <c r="AL576">
        <v>0</v>
      </c>
      <c r="AM576">
        <v>0</v>
      </c>
      <c r="AN576">
        <v>0</v>
      </c>
      <c r="AO576">
        <v>0</v>
      </c>
      <c r="AP576">
        <v>0</v>
      </c>
      <c r="AQ576">
        <v>0</v>
      </c>
      <c r="AR576">
        <v>0</v>
      </c>
      <c r="AS576">
        <v>0</v>
      </c>
      <c r="AT576">
        <v>0</v>
      </c>
      <c r="AU576">
        <v>0</v>
      </c>
      <c r="AV576">
        <v>0</v>
      </c>
      <c r="AW576">
        <v>0</v>
      </c>
      <c r="AX576">
        <v>0</v>
      </c>
      <c r="AY576">
        <v>0</v>
      </c>
      <c r="AZ576">
        <v>0</v>
      </c>
      <c r="BA576">
        <v>0</v>
      </c>
      <c r="BB576">
        <v>0</v>
      </c>
      <c r="BC576">
        <v>0</v>
      </c>
      <c r="BD576">
        <v>0</v>
      </c>
      <c r="BE576">
        <v>0</v>
      </c>
      <c r="BF576">
        <v>0</v>
      </c>
      <c r="BG576">
        <v>0</v>
      </c>
      <c r="BH576">
        <v>0</v>
      </c>
      <c r="BI576">
        <v>0</v>
      </c>
      <c r="BJ576">
        <v>0</v>
      </c>
      <c r="BK576">
        <v>0</v>
      </c>
      <c r="BL576">
        <v>0</v>
      </c>
      <c r="BM576">
        <v>0</v>
      </c>
      <c r="BN576">
        <v>0</v>
      </c>
      <c r="BO576">
        <v>0</v>
      </c>
      <c r="BP576">
        <v>0</v>
      </c>
      <c r="BQ576">
        <v>0</v>
      </c>
      <c r="BR576">
        <v>0</v>
      </c>
      <c r="BS576">
        <v>0</v>
      </c>
      <c r="BT576">
        <v>0</v>
      </c>
      <c r="BU576">
        <v>0</v>
      </c>
      <c r="BV576">
        <v>0</v>
      </c>
      <c r="BW576">
        <v>0</v>
      </c>
      <c r="BX576">
        <v>0</v>
      </c>
      <c r="BY576">
        <v>0</v>
      </c>
      <c r="BZ576">
        <v>0</v>
      </c>
      <c r="CA576">
        <v>0</v>
      </c>
      <c r="CB576">
        <v>0</v>
      </c>
    </row>
    <row r="577" spans="1:80" x14ac:dyDescent="0.2">
      <c r="A577">
        <v>0</v>
      </c>
      <c r="B577">
        <v>0</v>
      </c>
      <c r="C577">
        <v>0</v>
      </c>
      <c r="D577">
        <v>0</v>
      </c>
      <c r="E577">
        <v>0</v>
      </c>
      <c r="F577">
        <v>0</v>
      </c>
      <c r="G577">
        <v>0</v>
      </c>
      <c r="H577">
        <v>0</v>
      </c>
      <c r="I577">
        <v>0</v>
      </c>
      <c r="J577">
        <v>0</v>
      </c>
      <c r="K577">
        <v>0</v>
      </c>
      <c r="L577">
        <v>0</v>
      </c>
      <c r="M577">
        <v>0</v>
      </c>
      <c r="N577">
        <v>0</v>
      </c>
      <c r="O577">
        <v>0</v>
      </c>
      <c r="P577">
        <v>0</v>
      </c>
      <c r="Q577">
        <v>0</v>
      </c>
      <c r="R577">
        <v>0</v>
      </c>
      <c r="S577">
        <v>0</v>
      </c>
      <c r="T577">
        <v>0</v>
      </c>
      <c r="U577">
        <v>0</v>
      </c>
      <c r="V577">
        <v>0</v>
      </c>
      <c r="W577">
        <v>0</v>
      </c>
      <c r="X577">
        <v>0</v>
      </c>
      <c r="Y577">
        <v>0</v>
      </c>
      <c r="Z577">
        <v>0</v>
      </c>
      <c r="AA577">
        <v>0</v>
      </c>
      <c r="AB577">
        <v>0</v>
      </c>
      <c r="AC577">
        <v>0</v>
      </c>
      <c r="AD577">
        <v>0</v>
      </c>
      <c r="AE577">
        <v>0</v>
      </c>
      <c r="AF577">
        <v>0</v>
      </c>
      <c r="AG577">
        <v>0</v>
      </c>
      <c r="AH577">
        <v>0</v>
      </c>
      <c r="AI577">
        <v>0</v>
      </c>
      <c r="AJ577">
        <v>0</v>
      </c>
      <c r="AK577">
        <v>0</v>
      </c>
      <c r="AL577">
        <v>0</v>
      </c>
      <c r="AM577">
        <v>0</v>
      </c>
      <c r="AN577">
        <v>0</v>
      </c>
      <c r="AO577">
        <v>0</v>
      </c>
      <c r="AP577">
        <v>0</v>
      </c>
      <c r="AQ577">
        <v>0</v>
      </c>
      <c r="AR577">
        <v>0</v>
      </c>
      <c r="AS577">
        <v>0</v>
      </c>
      <c r="AT577">
        <v>0</v>
      </c>
      <c r="AU577">
        <v>0</v>
      </c>
      <c r="AV577">
        <v>0</v>
      </c>
      <c r="AW577">
        <v>0</v>
      </c>
      <c r="AX577">
        <v>0</v>
      </c>
      <c r="AY577">
        <v>0</v>
      </c>
      <c r="AZ577">
        <v>0</v>
      </c>
      <c r="BA577">
        <v>0</v>
      </c>
      <c r="BB577">
        <v>0</v>
      </c>
      <c r="BC577">
        <v>0</v>
      </c>
      <c r="BD577">
        <v>0</v>
      </c>
      <c r="BE577">
        <v>0</v>
      </c>
      <c r="BF577">
        <v>0</v>
      </c>
      <c r="BG577">
        <v>0</v>
      </c>
      <c r="BH577">
        <v>0</v>
      </c>
      <c r="BI577">
        <v>0</v>
      </c>
      <c r="BJ577">
        <v>0</v>
      </c>
      <c r="BK577">
        <v>0</v>
      </c>
      <c r="BL577">
        <v>0</v>
      </c>
      <c r="BM577">
        <v>0</v>
      </c>
      <c r="BN577">
        <v>0</v>
      </c>
      <c r="BO577">
        <v>0</v>
      </c>
      <c r="BP577">
        <v>0</v>
      </c>
      <c r="BQ577">
        <v>0</v>
      </c>
      <c r="BR577">
        <v>0</v>
      </c>
      <c r="BS577">
        <v>0</v>
      </c>
      <c r="BT577">
        <v>0</v>
      </c>
      <c r="BU577">
        <v>0</v>
      </c>
      <c r="BV577">
        <v>0</v>
      </c>
      <c r="BW577">
        <v>0</v>
      </c>
      <c r="BX577">
        <v>0</v>
      </c>
      <c r="BY577">
        <v>0</v>
      </c>
      <c r="BZ577">
        <v>0</v>
      </c>
      <c r="CA577">
        <v>0</v>
      </c>
      <c r="CB577">
        <v>0</v>
      </c>
    </row>
    <row r="578" spans="1:80" x14ac:dyDescent="0.2">
      <c r="A578">
        <v>0</v>
      </c>
      <c r="B578">
        <v>0</v>
      </c>
      <c r="C578">
        <v>0</v>
      </c>
      <c r="D578">
        <v>0</v>
      </c>
      <c r="E578">
        <v>0</v>
      </c>
      <c r="F578">
        <v>0</v>
      </c>
      <c r="G578">
        <v>0</v>
      </c>
      <c r="H578">
        <v>0</v>
      </c>
      <c r="I578">
        <v>0</v>
      </c>
      <c r="J578">
        <v>0</v>
      </c>
      <c r="K578">
        <v>0</v>
      </c>
      <c r="L578">
        <v>0</v>
      </c>
      <c r="M578">
        <v>0</v>
      </c>
      <c r="N578">
        <v>0</v>
      </c>
      <c r="O578">
        <v>0</v>
      </c>
      <c r="P578">
        <v>0</v>
      </c>
      <c r="Q578">
        <v>0</v>
      </c>
      <c r="R578">
        <v>0</v>
      </c>
      <c r="S578">
        <v>0</v>
      </c>
      <c r="T578">
        <v>0</v>
      </c>
      <c r="U578">
        <v>0</v>
      </c>
      <c r="V578">
        <v>0</v>
      </c>
      <c r="W578">
        <v>0</v>
      </c>
      <c r="X578">
        <v>0</v>
      </c>
      <c r="Y578">
        <v>0</v>
      </c>
      <c r="Z578">
        <v>0</v>
      </c>
      <c r="AA578">
        <v>0</v>
      </c>
      <c r="AB578">
        <v>0</v>
      </c>
      <c r="AC578">
        <v>0</v>
      </c>
      <c r="AD578">
        <v>0</v>
      </c>
      <c r="AE578">
        <v>0</v>
      </c>
      <c r="AF578">
        <v>0</v>
      </c>
      <c r="AG578">
        <v>0</v>
      </c>
      <c r="AH578">
        <v>0</v>
      </c>
      <c r="AI578">
        <v>0</v>
      </c>
      <c r="AJ578">
        <v>0</v>
      </c>
      <c r="AK578">
        <v>0</v>
      </c>
      <c r="AL578">
        <v>0</v>
      </c>
      <c r="AM578">
        <v>0</v>
      </c>
      <c r="AN578">
        <v>0</v>
      </c>
      <c r="AO578">
        <v>0</v>
      </c>
      <c r="AP578">
        <v>0</v>
      </c>
      <c r="AQ578">
        <v>0</v>
      </c>
      <c r="AR578">
        <v>0</v>
      </c>
      <c r="AS578">
        <v>0</v>
      </c>
      <c r="AT578">
        <v>0</v>
      </c>
      <c r="AU578">
        <v>0</v>
      </c>
      <c r="AV578">
        <v>0</v>
      </c>
      <c r="AW578">
        <v>0</v>
      </c>
      <c r="AX578">
        <v>0</v>
      </c>
      <c r="AY578">
        <v>0</v>
      </c>
      <c r="AZ578">
        <v>0</v>
      </c>
      <c r="BA578">
        <v>0</v>
      </c>
      <c r="BB578">
        <v>0</v>
      </c>
      <c r="BC578">
        <v>0</v>
      </c>
      <c r="BD578">
        <v>0</v>
      </c>
      <c r="BE578">
        <v>0</v>
      </c>
      <c r="BF578">
        <v>0</v>
      </c>
      <c r="BG578">
        <v>0</v>
      </c>
      <c r="BH578">
        <v>0</v>
      </c>
      <c r="BI578">
        <v>0</v>
      </c>
      <c r="BJ578">
        <v>0</v>
      </c>
      <c r="BK578">
        <v>0</v>
      </c>
      <c r="BL578">
        <v>0</v>
      </c>
      <c r="BM578">
        <v>0</v>
      </c>
      <c r="BN578">
        <v>0</v>
      </c>
      <c r="BO578">
        <v>0</v>
      </c>
      <c r="BP578">
        <v>0</v>
      </c>
      <c r="BQ578">
        <v>0</v>
      </c>
      <c r="BR578">
        <v>0</v>
      </c>
      <c r="BS578">
        <v>0</v>
      </c>
      <c r="BT578">
        <v>0</v>
      </c>
      <c r="BU578">
        <v>0</v>
      </c>
      <c r="BV578">
        <v>0</v>
      </c>
      <c r="BW578">
        <v>0</v>
      </c>
      <c r="BX578">
        <v>0</v>
      </c>
      <c r="BY578">
        <v>0</v>
      </c>
      <c r="BZ578">
        <v>0</v>
      </c>
      <c r="CA578">
        <v>0</v>
      </c>
      <c r="CB578">
        <v>0</v>
      </c>
    </row>
    <row r="579" spans="1:80" x14ac:dyDescent="0.2">
      <c r="A579">
        <v>0</v>
      </c>
      <c r="B579">
        <v>0</v>
      </c>
      <c r="C579">
        <v>0</v>
      </c>
      <c r="D579">
        <v>0</v>
      </c>
      <c r="E579">
        <v>0</v>
      </c>
      <c r="F579">
        <v>0</v>
      </c>
      <c r="G579">
        <v>0</v>
      </c>
      <c r="H579">
        <v>0</v>
      </c>
      <c r="I579">
        <v>0</v>
      </c>
      <c r="J579">
        <v>0</v>
      </c>
      <c r="K579">
        <v>0</v>
      </c>
      <c r="L579">
        <v>0</v>
      </c>
      <c r="M579">
        <v>0</v>
      </c>
      <c r="N579">
        <v>0</v>
      </c>
      <c r="O579">
        <v>0</v>
      </c>
      <c r="P579">
        <v>0</v>
      </c>
      <c r="Q579">
        <v>0</v>
      </c>
      <c r="R579">
        <v>0</v>
      </c>
      <c r="S579">
        <v>0</v>
      </c>
      <c r="T579">
        <v>0</v>
      </c>
      <c r="U579">
        <v>0</v>
      </c>
      <c r="V579">
        <v>0</v>
      </c>
      <c r="W579">
        <v>0</v>
      </c>
      <c r="X579">
        <v>0</v>
      </c>
      <c r="Y579">
        <v>0</v>
      </c>
      <c r="Z579">
        <v>0</v>
      </c>
      <c r="AA579">
        <v>0</v>
      </c>
      <c r="AB579">
        <v>0</v>
      </c>
      <c r="AC579">
        <v>0</v>
      </c>
      <c r="AD579">
        <v>0</v>
      </c>
      <c r="AE579">
        <v>0</v>
      </c>
      <c r="AF579">
        <v>0</v>
      </c>
      <c r="AG579">
        <v>0</v>
      </c>
      <c r="AH579">
        <v>0</v>
      </c>
      <c r="AI579">
        <v>0</v>
      </c>
      <c r="AJ579">
        <v>0</v>
      </c>
      <c r="AK579">
        <v>0</v>
      </c>
      <c r="AL579">
        <v>0</v>
      </c>
      <c r="AM579">
        <v>0</v>
      </c>
      <c r="AN579">
        <v>0</v>
      </c>
      <c r="AO579">
        <v>0</v>
      </c>
      <c r="AP579">
        <v>0</v>
      </c>
      <c r="AQ579">
        <v>0</v>
      </c>
      <c r="AR579">
        <v>0</v>
      </c>
      <c r="AS579">
        <v>0</v>
      </c>
      <c r="AT579">
        <v>0</v>
      </c>
      <c r="AU579">
        <v>0</v>
      </c>
      <c r="AV579">
        <v>0</v>
      </c>
      <c r="AW579">
        <v>0</v>
      </c>
      <c r="AX579">
        <v>0</v>
      </c>
      <c r="AY579">
        <v>0</v>
      </c>
      <c r="AZ579">
        <v>0</v>
      </c>
      <c r="BA579">
        <v>0</v>
      </c>
      <c r="BB579">
        <v>0</v>
      </c>
      <c r="BC579">
        <v>0</v>
      </c>
      <c r="BD579">
        <v>0</v>
      </c>
      <c r="BE579">
        <v>0</v>
      </c>
      <c r="BF579">
        <v>0</v>
      </c>
      <c r="BG579">
        <v>0</v>
      </c>
      <c r="BH579">
        <v>0</v>
      </c>
      <c r="BI579">
        <v>0</v>
      </c>
      <c r="BJ579">
        <v>0</v>
      </c>
      <c r="BK579">
        <v>0</v>
      </c>
      <c r="BL579">
        <v>0</v>
      </c>
      <c r="BM579">
        <v>0</v>
      </c>
      <c r="BN579">
        <v>0</v>
      </c>
      <c r="BO579">
        <v>0</v>
      </c>
      <c r="BP579">
        <v>0</v>
      </c>
      <c r="BQ579">
        <v>0</v>
      </c>
      <c r="BR579">
        <v>0</v>
      </c>
      <c r="BS579">
        <v>0</v>
      </c>
      <c r="BT579">
        <v>0</v>
      </c>
      <c r="BU579">
        <v>0</v>
      </c>
      <c r="BV579">
        <v>0</v>
      </c>
      <c r="BW579">
        <v>0</v>
      </c>
      <c r="BX579">
        <v>0</v>
      </c>
      <c r="BY579">
        <v>0</v>
      </c>
      <c r="BZ579">
        <v>0</v>
      </c>
      <c r="CA579">
        <v>0</v>
      </c>
      <c r="CB579">
        <v>0</v>
      </c>
    </row>
    <row r="580" spans="1:80" x14ac:dyDescent="0.2">
      <c r="A580">
        <v>0</v>
      </c>
      <c r="B580">
        <v>0</v>
      </c>
      <c r="C580">
        <v>0</v>
      </c>
      <c r="D580">
        <v>0</v>
      </c>
      <c r="E580">
        <v>0</v>
      </c>
      <c r="F580">
        <v>0</v>
      </c>
      <c r="G580">
        <v>0</v>
      </c>
      <c r="H580">
        <v>0</v>
      </c>
      <c r="I580">
        <v>0</v>
      </c>
      <c r="J580">
        <v>0</v>
      </c>
      <c r="K580">
        <v>0</v>
      </c>
      <c r="L580">
        <v>0</v>
      </c>
      <c r="M580">
        <v>0</v>
      </c>
      <c r="N580">
        <v>0</v>
      </c>
      <c r="O580">
        <v>0</v>
      </c>
      <c r="P580">
        <v>0</v>
      </c>
      <c r="Q580">
        <v>0</v>
      </c>
      <c r="R580">
        <v>0</v>
      </c>
      <c r="S580">
        <v>0</v>
      </c>
      <c r="T580">
        <v>0</v>
      </c>
      <c r="U580">
        <v>0</v>
      </c>
      <c r="V580">
        <v>0</v>
      </c>
      <c r="W580">
        <v>0</v>
      </c>
      <c r="X580">
        <v>0</v>
      </c>
      <c r="Y580">
        <v>0</v>
      </c>
      <c r="Z580">
        <v>0</v>
      </c>
      <c r="AA580">
        <v>0</v>
      </c>
      <c r="AB580">
        <v>0</v>
      </c>
      <c r="AC580">
        <v>0</v>
      </c>
      <c r="AD580">
        <v>0</v>
      </c>
      <c r="AE580">
        <v>0</v>
      </c>
      <c r="AF580">
        <v>0</v>
      </c>
      <c r="AG580">
        <v>0</v>
      </c>
      <c r="AH580">
        <v>0</v>
      </c>
      <c r="AI580">
        <v>0</v>
      </c>
      <c r="AJ580">
        <v>0</v>
      </c>
      <c r="AK580">
        <v>0</v>
      </c>
      <c r="AL580">
        <v>0</v>
      </c>
      <c r="AM580">
        <v>0</v>
      </c>
      <c r="AN580">
        <v>0</v>
      </c>
      <c r="AO580">
        <v>0</v>
      </c>
      <c r="AP580">
        <v>0</v>
      </c>
      <c r="AQ580">
        <v>0</v>
      </c>
      <c r="AR580">
        <v>0</v>
      </c>
      <c r="AS580">
        <v>0</v>
      </c>
      <c r="AT580">
        <v>0</v>
      </c>
      <c r="AU580">
        <v>0</v>
      </c>
      <c r="AV580">
        <v>0</v>
      </c>
      <c r="AW580">
        <v>0</v>
      </c>
      <c r="AX580">
        <v>0</v>
      </c>
      <c r="AY580">
        <v>0</v>
      </c>
      <c r="AZ580">
        <v>0</v>
      </c>
      <c r="BA580">
        <v>0</v>
      </c>
      <c r="BB580">
        <v>0</v>
      </c>
      <c r="BC580">
        <v>0</v>
      </c>
      <c r="BD580">
        <v>0</v>
      </c>
      <c r="BE580">
        <v>0</v>
      </c>
      <c r="BF580">
        <v>0</v>
      </c>
      <c r="BG580">
        <v>0</v>
      </c>
      <c r="BH580">
        <v>0</v>
      </c>
      <c r="BI580">
        <v>0</v>
      </c>
      <c r="BJ580">
        <v>0</v>
      </c>
      <c r="BK580">
        <v>0</v>
      </c>
      <c r="BL580">
        <v>0</v>
      </c>
      <c r="BM580">
        <v>0</v>
      </c>
      <c r="BN580">
        <v>0</v>
      </c>
      <c r="BO580">
        <v>0</v>
      </c>
      <c r="BP580">
        <v>0</v>
      </c>
      <c r="BQ580">
        <v>0</v>
      </c>
      <c r="BR580">
        <v>0</v>
      </c>
      <c r="BS580">
        <v>0</v>
      </c>
      <c r="BT580">
        <v>0</v>
      </c>
      <c r="BU580">
        <v>0</v>
      </c>
      <c r="BV580">
        <v>0</v>
      </c>
      <c r="BW580">
        <v>0</v>
      </c>
      <c r="BX580">
        <v>0</v>
      </c>
      <c r="BY580">
        <v>0</v>
      </c>
      <c r="BZ580">
        <v>0</v>
      </c>
      <c r="CA580">
        <v>0</v>
      </c>
      <c r="CB580">
        <v>0</v>
      </c>
    </row>
    <row r="581" spans="1:80" x14ac:dyDescent="0.2">
      <c r="A581">
        <v>0</v>
      </c>
      <c r="B581">
        <v>0</v>
      </c>
      <c r="C581">
        <v>0</v>
      </c>
      <c r="D581">
        <v>0</v>
      </c>
      <c r="E581">
        <v>0</v>
      </c>
      <c r="F581">
        <v>0</v>
      </c>
      <c r="G581">
        <v>0</v>
      </c>
      <c r="H581">
        <v>0</v>
      </c>
      <c r="I581">
        <v>0</v>
      </c>
      <c r="J581">
        <v>0</v>
      </c>
      <c r="K581">
        <v>0</v>
      </c>
      <c r="L581">
        <v>0</v>
      </c>
      <c r="M581">
        <v>0</v>
      </c>
      <c r="N581">
        <v>0</v>
      </c>
      <c r="O581">
        <v>0</v>
      </c>
      <c r="P581">
        <v>0</v>
      </c>
      <c r="Q581">
        <v>0</v>
      </c>
      <c r="R581">
        <v>0</v>
      </c>
      <c r="S581">
        <v>0</v>
      </c>
      <c r="T581">
        <v>0</v>
      </c>
      <c r="U581">
        <v>0</v>
      </c>
      <c r="V581">
        <v>0</v>
      </c>
      <c r="W581">
        <v>0</v>
      </c>
      <c r="X581">
        <v>0</v>
      </c>
      <c r="Y581">
        <v>0</v>
      </c>
      <c r="Z581">
        <v>0</v>
      </c>
      <c r="AA581">
        <v>0</v>
      </c>
      <c r="AB581">
        <v>0</v>
      </c>
      <c r="AC581">
        <v>0</v>
      </c>
      <c r="AD581">
        <v>0</v>
      </c>
      <c r="AE581">
        <v>0</v>
      </c>
      <c r="AF581">
        <v>0</v>
      </c>
      <c r="AG581">
        <v>0</v>
      </c>
      <c r="AH581">
        <v>0</v>
      </c>
      <c r="AI581">
        <v>0</v>
      </c>
      <c r="AJ581">
        <v>0</v>
      </c>
      <c r="AK581">
        <v>0</v>
      </c>
      <c r="AL581">
        <v>0</v>
      </c>
      <c r="AM581">
        <v>0</v>
      </c>
      <c r="AN581">
        <v>0</v>
      </c>
      <c r="AO581">
        <v>0</v>
      </c>
      <c r="AP581">
        <v>0</v>
      </c>
      <c r="AQ581">
        <v>0</v>
      </c>
      <c r="AR581">
        <v>0</v>
      </c>
      <c r="AS581">
        <v>0</v>
      </c>
      <c r="AT581">
        <v>0</v>
      </c>
      <c r="AU581">
        <v>0</v>
      </c>
      <c r="AV581">
        <v>0</v>
      </c>
      <c r="AW581">
        <v>0</v>
      </c>
      <c r="AX581">
        <v>0</v>
      </c>
      <c r="AY581">
        <v>0</v>
      </c>
      <c r="AZ581">
        <v>0</v>
      </c>
      <c r="BA581">
        <v>0</v>
      </c>
      <c r="BB581">
        <v>0</v>
      </c>
      <c r="BC581">
        <v>0</v>
      </c>
      <c r="BD581">
        <v>0</v>
      </c>
      <c r="BE581">
        <v>0</v>
      </c>
      <c r="BF581">
        <v>0</v>
      </c>
      <c r="BG581">
        <v>0</v>
      </c>
      <c r="BH581">
        <v>0</v>
      </c>
      <c r="BI581">
        <v>0</v>
      </c>
      <c r="BJ581">
        <v>0</v>
      </c>
      <c r="BK581">
        <v>0</v>
      </c>
      <c r="BL581">
        <v>0</v>
      </c>
      <c r="BM581">
        <v>0</v>
      </c>
      <c r="BN581">
        <v>0</v>
      </c>
      <c r="BO581">
        <v>0</v>
      </c>
      <c r="BP581">
        <v>0</v>
      </c>
      <c r="BQ581">
        <v>0</v>
      </c>
      <c r="BR581">
        <v>0</v>
      </c>
      <c r="BS581">
        <v>0</v>
      </c>
      <c r="BT581">
        <v>0</v>
      </c>
      <c r="BU581">
        <v>0</v>
      </c>
      <c r="BV581">
        <v>0</v>
      </c>
      <c r="BW581">
        <v>0</v>
      </c>
      <c r="BX581">
        <v>0</v>
      </c>
      <c r="BY581">
        <v>0</v>
      </c>
      <c r="BZ581">
        <v>0</v>
      </c>
      <c r="CA581">
        <v>0</v>
      </c>
      <c r="CB581">
        <v>0</v>
      </c>
    </row>
    <row r="582" spans="1:80" x14ac:dyDescent="0.2">
      <c r="A582">
        <v>0</v>
      </c>
      <c r="B582">
        <v>0</v>
      </c>
      <c r="C582">
        <v>0</v>
      </c>
      <c r="D582">
        <v>0</v>
      </c>
      <c r="E582">
        <v>0</v>
      </c>
      <c r="F582">
        <v>0</v>
      </c>
      <c r="G582">
        <v>0</v>
      </c>
      <c r="H582">
        <v>0</v>
      </c>
      <c r="I582">
        <v>0</v>
      </c>
      <c r="J582">
        <v>0</v>
      </c>
      <c r="K582">
        <v>0</v>
      </c>
      <c r="L582">
        <v>0</v>
      </c>
      <c r="M582">
        <v>0</v>
      </c>
      <c r="N582">
        <v>0</v>
      </c>
      <c r="O582">
        <v>0</v>
      </c>
      <c r="P582">
        <v>0</v>
      </c>
      <c r="Q582">
        <v>0</v>
      </c>
      <c r="R582">
        <v>0</v>
      </c>
      <c r="S582">
        <v>0</v>
      </c>
      <c r="T582">
        <v>0</v>
      </c>
      <c r="U582">
        <v>0</v>
      </c>
      <c r="V582">
        <v>0</v>
      </c>
      <c r="W582">
        <v>0</v>
      </c>
      <c r="X582">
        <v>0</v>
      </c>
      <c r="Y582">
        <v>0</v>
      </c>
      <c r="Z582">
        <v>0</v>
      </c>
      <c r="AA582">
        <v>0</v>
      </c>
      <c r="AB582">
        <v>0</v>
      </c>
      <c r="AC582">
        <v>0</v>
      </c>
      <c r="AD582">
        <v>0</v>
      </c>
      <c r="AE582">
        <v>0</v>
      </c>
      <c r="AF582">
        <v>0</v>
      </c>
      <c r="AG582">
        <v>0</v>
      </c>
      <c r="AH582">
        <v>0</v>
      </c>
      <c r="AI582">
        <v>0</v>
      </c>
      <c r="AJ582">
        <v>0</v>
      </c>
      <c r="AK582">
        <v>0</v>
      </c>
      <c r="AL582">
        <v>0</v>
      </c>
      <c r="AM582">
        <v>0</v>
      </c>
      <c r="AN582">
        <v>0</v>
      </c>
      <c r="AO582">
        <v>0</v>
      </c>
      <c r="AP582">
        <v>0</v>
      </c>
      <c r="AQ582">
        <v>0</v>
      </c>
      <c r="AR582">
        <v>0</v>
      </c>
      <c r="AS582">
        <v>0</v>
      </c>
      <c r="AT582">
        <v>0</v>
      </c>
      <c r="AU582">
        <v>0</v>
      </c>
      <c r="AV582">
        <v>0</v>
      </c>
      <c r="AW582">
        <v>0</v>
      </c>
      <c r="AX582">
        <v>0</v>
      </c>
      <c r="AY582">
        <v>0</v>
      </c>
      <c r="AZ582">
        <v>0</v>
      </c>
      <c r="BA582">
        <v>0</v>
      </c>
      <c r="BB582">
        <v>0</v>
      </c>
      <c r="BC582">
        <v>0</v>
      </c>
      <c r="BD582">
        <v>0</v>
      </c>
      <c r="BE582">
        <v>0</v>
      </c>
      <c r="BF582">
        <v>0</v>
      </c>
      <c r="BG582">
        <v>0</v>
      </c>
      <c r="BH582">
        <v>0</v>
      </c>
      <c r="BI582">
        <v>0</v>
      </c>
      <c r="BJ582">
        <v>0</v>
      </c>
      <c r="BK582">
        <v>0</v>
      </c>
      <c r="BL582">
        <v>0</v>
      </c>
      <c r="BM582">
        <v>0</v>
      </c>
      <c r="BN582">
        <v>0</v>
      </c>
      <c r="BO582">
        <v>0</v>
      </c>
      <c r="BP582">
        <v>0</v>
      </c>
      <c r="BQ582">
        <v>0</v>
      </c>
      <c r="BR582">
        <v>0</v>
      </c>
      <c r="BS582">
        <v>0</v>
      </c>
      <c r="BT582">
        <v>0</v>
      </c>
      <c r="BU582">
        <v>0</v>
      </c>
      <c r="BV582">
        <v>0</v>
      </c>
      <c r="BW582">
        <v>0</v>
      </c>
      <c r="BX582">
        <v>0</v>
      </c>
      <c r="BY582">
        <v>0</v>
      </c>
      <c r="BZ582">
        <v>0</v>
      </c>
      <c r="CA582">
        <v>0</v>
      </c>
      <c r="CB582">
        <v>0</v>
      </c>
    </row>
    <row r="585" spans="1:80" x14ac:dyDescent="0.2">
      <c r="A585" s="52" t="s">
        <v>595</v>
      </c>
      <c r="B585" s="52" t="s">
        <v>596</v>
      </c>
      <c r="C585" s="52" t="s">
        <v>597</v>
      </c>
      <c r="D585" s="52" t="s">
        <v>598</v>
      </c>
      <c r="E585" s="52" t="s">
        <v>599</v>
      </c>
      <c r="F585" s="52" t="s">
        <v>600</v>
      </c>
      <c r="G585" s="52" t="s">
        <v>601</v>
      </c>
      <c r="H585" s="52" t="s">
        <v>602</v>
      </c>
      <c r="I585" s="52" t="s">
        <v>603</v>
      </c>
      <c r="J585" s="52" t="s">
        <v>604</v>
      </c>
      <c r="K585" s="52" t="s">
        <v>605</v>
      </c>
      <c r="L585" s="52" t="s">
        <v>606</v>
      </c>
      <c r="M585" s="52" t="s">
        <v>607</v>
      </c>
      <c r="N585" s="52" t="s">
        <v>608</v>
      </c>
      <c r="O585" s="52" t="s">
        <v>609</v>
      </c>
      <c r="P585" s="52" t="s">
        <v>610</v>
      </c>
    </row>
    <row r="586" spans="1:80" x14ac:dyDescent="0.2">
      <c r="A586">
        <f>'02 · Variables'!$B$7</f>
      </c>
      <c r="B586">
        <f>IF('02 · Variables'!$C$7&lt;&gt;"",1,0)</f>
      </c>
      <c r="C586">
        <f>SUM('_motor'!$A$11:$CB$11)</f>
      </c>
      <c r="D586">
        <f>SUM('_motor'!A$11:A$90)</f>
      </c>
      <c r="E586">
        <f>SUM('_motor'!$A$257:$CB$257)</f>
      </c>
      <c r="F586">
        <f>SUM('_motor'!A$257:A$336)</f>
      </c>
      <c r="G586">
        <f>SUM('_motor'!$A$93:$CB$93)</f>
      </c>
      <c r="H586">
        <f>SUM('_motor'!A$93:A$172)</f>
      </c>
      <c r="I586">
        <f>SUM('_motor'!$A$503:$CB$503)</f>
      </c>
      <c r="J586">
        <f>SUM('_motor'!A$503:A$582)</f>
      </c>
      <c r="K586">
        <f>SUM('_motor'!$A$175:$CB$175)</f>
      </c>
      <c r="L586">
        <f>SUM('_motor'!$A$339:$CB$339)</f>
      </c>
      <c r="M586">
        <f>IF($B586=0,"",SUMPRODUCT('_motor'!$B$586:$B$665*('_motor'!$C$586:$C$665&gt;$C586))+(SUMPRODUCT('_motor'!$B$586:$B$665*('_motor'!$C$586:$C$665=$C586))+1)/2)</f>
        <v/>
      </c>
      <c r="N586">
        <f>IF($B586=0,"",SUMPRODUCT('_motor'!$B$586:$B$665*('_motor'!$K$586:$K$665&gt;$K586))+(SUMPRODUCT('_motor'!$B$586:$B$665*('_motor'!$K$586:$K$665=$K586))+1)/2)</f>
        <v/>
      </c>
      <c r="O586">
        <f>IF($B586=0,"",SUMPRODUCT('_motor'!$B$586:$B$665*('_motor'!$E$586:$E$665&gt;$E586))+(SUMPRODUCT('_motor'!$B$586:$B$665*('_motor'!$E$586:$E$665=$E586))+1)/2)</f>
        <v/>
      </c>
      <c r="P586">
        <f>IF($B586=0,"",SUMPRODUCT('_motor'!$B$586:$B$665*('_motor'!$L$586:$L$665&gt;$L586))+(SUMPRODUCT('_motor'!$B$586:$B$665*('_motor'!$L$586:$L$665=$L586))+1)/2)</f>
        <v/>
      </c>
    </row>
    <row r="587" spans="1:80" x14ac:dyDescent="0.2">
      <c r="A587">
        <f>'02 · Variables'!$B$8</f>
      </c>
      <c r="B587">
        <f>IF('02 · Variables'!$C$8&lt;&gt;"",1,0)</f>
      </c>
      <c r="C587">
        <f>SUM('_motor'!$A$12:$CB$12)</f>
      </c>
      <c r="D587">
        <f>SUM('_motor'!B$11:B$90)</f>
      </c>
      <c r="E587">
        <f>SUM('_motor'!$A$258:$CB$258)</f>
      </c>
      <c r="F587">
        <f>SUM('_motor'!B$257:B$336)</f>
      </c>
      <c r="G587">
        <f>SUM('_motor'!$A$94:$CB$94)</f>
      </c>
      <c r="H587">
        <f>SUM('_motor'!B$93:B$172)</f>
      </c>
      <c r="I587">
        <f>SUM('_motor'!$A$504:$CB$504)</f>
      </c>
      <c r="J587">
        <f>SUM('_motor'!B$503:B$582)</f>
      </c>
      <c r="K587">
        <f>SUM('_motor'!$A$176:$CB$176)</f>
      </c>
      <c r="L587">
        <f>SUM('_motor'!$A$340:$CB$340)</f>
      </c>
      <c r="M587">
        <f>IF($B587=0,"",SUMPRODUCT('_motor'!$B$586:$B$665*('_motor'!$C$586:$C$665&gt;$C587))+(SUMPRODUCT('_motor'!$B$586:$B$665*('_motor'!$C$586:$C$665=$C587))+1)/2)</f>
        <v/>
      </c>
      <c r="N587">
        <f>IF($B587=0,"",SUMPRODUCT('_motor'!$B$586:$B$665*('_motor'!$K$586:$K$665&gt;$K587))+(SUMPRODUCT('_motor'!$B$586:$B$665*('_motor'!$K$586:$K$665=$K587))+1)/2)</f>
        <v/>
      </c>
      <c r="O587">
        <f>IF($B587=0,"",SUMPRODUCT('_motor'!$B$586:$B$665*('_motor'!$E$586:$E$665&gt;$E587))+(SUMPRODUCT('_motor'!$B$586:$B$665*('_motor'!$E$586:$E$665=$E587))+1)/2)</f>
        <v/>
      </c>
      <c r="P587">
        <f>IF($B587=0,"",SUMPRODUCT('_motor'!$B$586:$B$665*('_motor'!$L$586:$L$665&gt;$L587))+(SUMPRODUCT('_motor'!$B$586:$B$665*('_motor'!$L$586:$L$665=$L587))+1)/2)</f>
        <v/>
      </c>
    </row>
    <row r="588" spans="1:80" x14ac:dyDescent="0.2">
      <c r="A588">
        <f>'02 · Variables'!$B$9</f>
      </c>
      <c r="B588">
        <f>IF('02 · Variables'!$C$9&lt;&gt;"",1,0)</f>
      </c>
      <c r="C588">
        <f>SUM('_motor'!$A$13:$CB$13)</f>
      </c>
      <c r="D588">
        <f>SUM('_motor'!C$11:C$90)</f>
      </c>
      <c r="E588">
        <f>SUM('_motor'!$A$259:$CB$259)</f>
      </c>
      <c r="F588">
        <f>SUM('_motor'!C$257:C$336)</f>
      </c>
      <c r="G588">
        <f>SUM('_motor'!$A$95:$CB$95)</f>
      </c>
      <c r="H588">
        <f>SUM('_motor'!C$93:C$172)</f>
      </c>
      <c r="I588">
        <f>SUM('_motor'!$A$505:$CB$505)</f>
      </c>
      <c r="J588">
        <f>SUM('_motor'!C$503:C$582)</f>
      </c>
      <c r="K588">
        <f>SUM('_motor'!$A$177:$CB$177)</f>
      </c>
      <c r="L588">
        <f>SUM('_motor'!$A$341:$CB$341)</f>
      </c>
      <c r="M588">
        <f>IF($B588=0,"",SUMPRODUCT('_motor'!$B$586:$B$665*('_motor'!$C$586:$C$665&gt;$C588))+(SUMPRODUCT('_motor'!$B$586:$B$665*('_motor'!$C$586:$C$665=$C588))+1)/2)</f>
        <v/>
      </c>
      <c r="N588">
        <f>IF($B588=0,"",SUMPRODUCT('_motor'!$B$586:$B$665*('_motor'!$K$586:$K$665&gt;$K588))+(SUMPRODUCT('_motor'!$B$586:$B$665*('_motor'!$K$586:$K$665=$K588))+1)/2)</f>
        <v/>
      </c>
      <c r="O588">
        <f>IF($B588=0,"",SUMPRODUCT('_motor'!$B$586:$B$665*('_motor'!$E$586:$E$665&gt;$E588))+(SUMPRODUCT('_motor'!$B$586:$B$665*('_motor'!$E$586:$E$665=$E588))+1)/2)</f>
        <v/>
      </c>
      <c r="P588">
        <f>IF($B588=0,"",SUMPRODUCT('_motor'!$B$586:$B$665*('_motor'!$L$586:$L$665&gt;$L588))+(SUMPRODUCT('_motor'!$B$586:$B$665*('_motor'!$L$586:$L$665=$L588))+1)/2)</f>
        <v/>
      </c>
    </row>
    <row r="589" spans="1:80" x14ac:dyDescent="0.2">
      <c r="A589">
        <f>'02 · Variables'!$B$10</f>
      </c>
      <c r="B589">
        <f>IF('02 · Variables'!$C$10&lt;&gt;"",1,0)</f>
      </c>
      <c r="C589">
        <f>SUM('_motor'!$A$14:$CB$14)</f>
      </c>
      <c r="D589">
        <f>SUM('_motor'!D$11:D$90)</f>
      </c>
      <c r="E589">
        <f>SUM('_motor'!$A$260:$CB$260)</f>
      </c>
      <c r="F589">
        <f>SUM('_motor'!D$257:D$336)</f>
      </c>
      <c r="G589">
        <f>SUM('_motor'!$A$96:$CB$96)</f>
      </c>
      <c r="H589">
        <f>SUM('_motor'!D$93:D$172)</f>
      </c>
      <c r="I589">
        <f>SUM('_motor'!$A$506:$CB$506)</f>
      </c>
      <c r="J589">
        <f>SUM('_motor'!D$503:D$582)</f>
      </c>
      <c r="K589">
        <f>SUM('_motor'!$A$178:$CB$178)</f>
      </c>
      <c r="L589">
        <f>SUM('_motor'!$A$342:$CB$342)</f>
      </c>
      <c r="M589">
        <f>IF($B589=0,"",SUMPRODUCT('_motor'!$B$586:$B$665*('_motor'!$C$586:$C$665&gt;$C589))+(SUMPRODUCT('_motor'!$B$586:$B$665*('_motor'!$C$586:$C$665=$C589))+1)/2)</f>
        <v/>
      </c>
      <c r="N589">
        <f>IF($B589=0,"",SUMPRODUCT('_motor'!$B$586:$B$665*('_motor'!$K$586:$K$665&gt;$K589))+(SUMPRODUCT('_motor'!$B$586:$B$665*('_motor'!$K$586:$K$665=$K589))+1)/2)</f>
        <v/>
      </c>
      <c r="O589">
        <f>IF($B589=0,"",SUMPRODUCT('_motor'!$B$586:$B$665*('_motor'!$E$586:$E$665&gt;$E589))+(SUMPRODUCT('_motor'!$B$586:$B$665*('_motor'!$E$586:$E$665=$E589))+1)/2)</f>
        <v/>
      </c>
      <c r="P589">
        <f>IF($B589=0,"",SUMPRODUCT('_motor'!$B$586:$B$665*('_motor'!$L$586:$L$665&gt;$L589))+(SUMPRODUCT('_motor'!$B$586:$B$665*('_motor'!$L$586:$L$665=$L589))+1)/2)</f>
        <v/>
      </c>
    </row>
    <row r="590" spans="1:80" x14ac:dyDescent="0.2">
      <c r="A590">
        <f>'02 · Variables'!$B$11</f>
      </c>
      <c r="B590">
        <f>IF('02 · Variables'!$C$11&lt;&gt;"",1,0)</f>
      </c>
      <c r="C590">
        <f>SUM('_motor'!$A$15:$CB$15)</f>
      </c>
      <c r="D590">
        <f>SUM('_motor'!E$11:E$90)</f>
      </c>
      <c r="E590">
        <f>SUM('_motor'!$A$261:$CB$261)</f>
      </c>
      <c r="F590">
        <f>SUM('_motor'!E$257:E$336)</f>
      </c>
      <c r="G590">
        <f>SUM('_motor'!$A$97:$CB$97)</f>
      </c>
      <c r="H590">
        <f>SUM('_motor'!E$93:E$172)</f>
      </c>
      <c r="I590">
        <f>SUM('_motor'!$A$507:$CB$507)</f>
      </c>
      <c r="J590">
        <f>SUM('_motor'!E$503:E$582)</f>
      </c>
      <c r="K590">
        <f>SUM('_motor'!$A$179:$CB$179)</f>
      </c>
      <c r="L590">
        <f>SUM('_motor'!$A$343:$CB$343)</f>
      </c>
      <c r="M590">
        <f>IF($B590=0,"",SUMPRODUCT('_motor'!$B$586:$B$665*('_motor'!$C$586:$C$665&gt;$C590))+(SUMPRODUCT('_motor'!$B$586:$B$665*('_motor'!$C$586:$C$665=$C590))+1)/2)</f>
        <v/>
      </c>
      <c r="N590">
        <f>IF($B590=0,"",SUMPRODUCT('_motor'!$B$586:$B$665*('_motor'!$K$586:$K$665&gt;$K590))+(SUMPRODUCT('_motor'!$B$586:$B$665*('_motor'!$K$586:$K$665=$K590))+1)/2)</f>
        <v/>
      </c>
      <c r="O590">
        <f>IF($B590=0,"",SUMPRODUCT('_motor'!$B$586:$B$665*('_motor'!$E$586:$E$665&gt;$E590))+(SUMPRODUCT('_motor'!$B$586:$B$665*('_motor'!$E$586:$E$665=$E590))+1)/2)</f>
        <v/>
      </c>
      <c r="P590">
        <f>IF($B590=0,"",SUMPRODUCT('_motor'!$B$586:$B$665*('_motor'!$L$586:$L$665&gt;$L590))+(SUMPRODUCT('_motor'!$B$586:$B$665*('_motor'!$L$586:$L$665=$L590))+1)/2)</f>
        <v/>
      </c>
    </row>
    <row r="591" spans="1:80" x14ac:dyDescent="0.2">
      <c r="A591">
        <f>'02 · Variables'!$B$12</f>
      </c>
      <c r="B591">
        <f>IF('02 · Variables'!$C$12&lt;&gt;"",1,0)</f>
      </c>
      <c r="C591">
        <f>SUM('_motor'!$A$16:$CB$16)</f>
      </c>
      <c r="D591">
        <f>SUM('_motor'!F$11:F$90)</f>
      </c>
      <c r="E591">
        <f>SUM('_motor'!$A$262:$CB$262)</f>
      </c>
      <c r="F591">
        <f>SUM('_motor'!F$257:F$336)</f>
      </c>
      <c r="G591">
        <f>SUM('_motor'!$A$98:$CB$98)</f>
      </c>
      <c r="H591">
        <f>SUM('_motor'!F$93:F$172)</f>
      </c>
      <c r="I591">
        <f>SUM('_motor'!$A$508:$CB$508)</f>
      </c>
      <c r="J591">
        <f>SUM('_motor'!F$503:F$582)</f>
      </c>
      <c r="K591">
        <f>SUM('_motor'!$A$180:$CB$180)</f>
      </c>
      <c r="L591">
        <f>SUM('_motor'!$A$344:$CB$344)</f>
      </c>
      <c r="M591">
        <f>IF($B591=0,"",SUMPRODUCT('_motor'!$B$586:$B$665*('_motor'!$C$586:$C$665&gt;$C591))+(SUMPRODUCT('_motor'!$B$586:$B$665*('_motor'!$C$586:$C$665=$C591))+1)/2)</f>
        <v/>
      </c>
      <c r="N591">
        <f>IF($B591=0,"",SUMPRODUCT('_motor'!$B$586:$B$665*('_motor'!$K$586:$K$665&gt;$K591))+(SUMPRODUCT('_motor'!$B$586:$B$665*('_motor'!$K$586:$K$665=$K591))+1)/2)</f>
        <v/>
      </c>
      <c r="O591">
        <f>IF($B591=0,"",SUMPRODUCT('_motor'!$B$586:$B$665*('_motor'!$E$586:$E$665&gt;$E591))+(SUMPRODUCT('_motor'!$B$586:$B$665*('_motor'!$E$586:$E$665=$E591))+1)/2)</f>
        <v/>
      </c>
      <c r="P591">
        <f>IF($B591=0,"",SUMPRODUCT('_motor'!$B$586:$B$665*('_motor'!$L$586:$L$665&gt;$L591))+(SUMPRODUCT('_motor'!$B$586:$B$665*('_motor'!$L$586:$L$665=$L591))+1)/2)</f>
        <v/>
      </c>
    </row>
    <row r="592" spans="1:80" x14ac:dyDescent="0.2">
      <c r="A592">
        <f>'02 · Variables'!$B$13</f>
      </c>
      <c r="B592">
        <f>IF('02 · Variables'!$C$13&lt;&gt;"",1,0)</f>
      </c>
      <c r="C592">
        <f>SUM('_motor'!$A$17:$CB$17)</f>
      </c>
      <c r="D592">
        <f>SUM('_motor'!G$11:G$90)</f>
      </c>
      <c r="E592">
        <f>SUM('_motor'!$A$263:$CB$263)</f>
      </c>
      <c r="F592">
        <f>SUM('_motor'!G$257:G$336)</f>
      </c>
      <c r="G592">
        <f>SUM('_motor'!$A$99:$CB$99)</f>
      </c>
      <c r="H592">
        <f>SUM('_motor'!G$93:G$172)</f>
      </c>
      <c r="I592">
        <f>SUM('_motor'!$A$509:$CB$509)</f>
      </c>
      <c r="J592">
        <f>SUM('_motor'!G$503:G$582)</f>
      </c>
      <c r="K592">
        <f>SUM('_motor'!$A$181:$CB$181)</f>
      </c>
      <c r="L592">
        <f>SUM('_motor'!$A$345:$CB$345)</f>
      </c>
      <c r="M592">
        <f>IF($B592=0,"",SUMPRODUCT('_motor'!$B$586:$B$665*('_motor'!$C$586:$C$665&gt;$C592))+(SUMPRODUCT('_motor'!$B$586:$B$665*('_motor'!$C$586:$C$665=$C592))+1)/2)</f>
        <v/>
      </c>
      <c r="N592">
        <f>IF($B592=0,"",SUMPRODUCT('_motor'!$B$586:$B$665*('_motor'!$K$586:$K$665&gt;$K592))+(SUMPRODUCT('_motor'!$B$586:$B$665*('_motor'!$K$586:$K$665=$K592))+1)/2)</f>
        <v/>
      </c>
      <c r="O592">
        <f>IF($B592=0,"",SUMPRODUCT('_motor'!$B$586:$B$665*('_motor'!$E$586:$E$665&gt;$E592))+(SUMPRODUCT('_motor'!$B$586:$B$665*('_motor'!$E$586:$E$665=$E592))+1)/2)</f>
        <v/>
      </c>
      <c r="P592">
        <f>IF($B592=0,"",SUMPRODUCT('_motor'!$B$586:$B$665*('_motor'!$L$586:$L$665&gt;$L592))+(SUMPRODUCT('_motor'!$B$586:$B$665*('_motor'!$L$586:$L$665=$L592))+1)/2)</f>
        <v/>
      </c>
    </row>
    <row r="593" spans="1:16" x14ac:dyDescent="0.2">
      <c r="A593">
        <f>'02 · Variables'!$B$14</f>
      </c>
      <c r="B593">
        <f>IF('02 · Variables'!$C$14&lt;&gt;"",1,0)</f>
      </c>
      <c r="C593">
        <f>SUM('_motor'!$A$18:$CB$18)</f>
      </c>
      <c r="D593">
        <f>SUM('_motor'!H$11:H$90)</f>
      </c>
      <c r="E593">
        <f>SUM('_motor'!$A$264:$CB$264)</f>
      </c>
      <c r="F593">
        <f>SUM('_motor'!H$257:H$336)</f>
      </c>
      <c r="G593">
        <f>SUM('_motor'!$A$100:$CB$100)</f>
      </c>
      <c r="H593">
        <f>SUM('_motor'!H$93:H$172)</f>
      </c>
      <c r="I593">
        <f>SUM('_motor'!$A$510:$CB$510)</f>
      </c>
      <c r="J593">
        <f>SUM('_motor'!H$503:H$582)</f>
      </c>
      <c r="K593">
        <f>SUM('_motor'!$A$182:$CB$182)</f>
      </c>
      <c r="L593">
        <f>SUM('_motor'!$A$346:$CB$346)</f>
      </c>
      <c r="M593">
        <f>IF($B593=0,"",SUMPRODUCT('_motor'!$B$586:$B$665*('_motor'!$C$586:$C$665&gt;$C593))+(SUMPRODUCT('_motor'!$B$586:$B$665*('_motor'!$C$586:$C$665=$C593))+1)/2)</f>
        <v/>
      </c>
      <c r="N593">
        <f>IF($B593=0,"",SUMPRODUCT('_motor'!$B$586:$B$665*('_motor'!$K$586:$K$665&gt;$K593))+(SUMPRODUCT('_motor'!$B$586:$B$665*('_motor'!$K$586:$K$665=$K593))+1)/2)</f>
        <v/>
      </c>
      <c r="O593">
        <f>IF($B593=0,"",SUMPRODUCT('_motor'!$B$586:$B$665*('_motor'!$E$586:$E$665&gt;$E593))+(SUMPRODUCT('_motor'!$B$586:$B$665*('_motor'!$E$586:$E$665=$E593))+1)/2)</f>
        <v/>
      </c>
      <c r="P593">
        <f>IF($B593=0,"",SUMPRODUCT('_motor'!$B$586:$B$665*('_motor'!$L$586:$L$665&gt;$L593))+(SUMPRODUCT('_motor'!$B$586:$B$665*('_motor'!$L$586:$L$665=$L593))+1)/2)</f>
        <v/>
      </c>
    </row>
    <row r="594" spans="1:16" x14ac:dyDescent="0.2">
      <c r="A594">
        <f>'02 · Variables'!$B$15</f>
      </c>
      <c r="B594">
        <f>IF('02 · Variables'!$C$15&lt;&gt;"",1,0)</f>
      </c>
      <c r="C594">
        <f>SUM('_motor'!$A$19:$CB$19)</f>
      </c>
      <c r="D594">
        <f>SUM('_motor'!I$11:I$90)</f>
      </c>
      <c r="E594">
        <f>SUM('_motor'!$A$265:$CB$265)</f>
      </c>
      <c r="F594">
        <f>SUM('_motor'!I$257:I$336)</f>
      </c>
      <c r="G594">
        <f>SUM('_motor'!$A$101:$CB$101)</f>
      </c>
      <c r="H594">
        <f>SUM('_motor'!I$93:I$172)</f>
      </c>
      <c r="I594">
        <f>SUM('_motor'!$A$511:$CB$511)</f>
      </c>
      <c r="J594">
        <f>SUM('_motor'!I$503:I$582)</f>
      </c>
      <c r="K594">
        <f>SUM('_motor'!$A$183:$CB$183)</f>
      </c>
      <c r="L594">
        <f>SUM('_motor'!$A$347:$CB$347)</f>
      </c>
      <c r="M594">
        <f>IF($B594=0,"",SUMPRODUCT('_motor'!$B$586:$B$665*('_motor'!$C$586:$C$665&gt;$C594))+(SUMPRODUCT('_motor'!$B$586:$B$665*('_motor'!$C$586:$C$665=$C594))+1)/2)</f>
        <v/>
      </c>
      <c r="N594">
        <f>IF($B594=0,"",SUMPRODUCT('_motor'!$B$586:$B$665*('_motor'!$K$586:$K$665&gt;$K594))+(SUMPRODUCT('_motor'!$B$586:$B$665*('_motor'!$K$586:$K$665=$K594))+1)/2)</f>
        <v/>
      </c>
      <c r="O594">
        <f>IF($B594=0,"",SUMPRODUCT('_motor'!$B$586:$B$665*('_motor'!$E$586:$E$665&gt;$E594))+(SUMPRODUCT('_motor'!$B$586:$B$665*('_motor'!$E$586:$E$665=$E594))+1)/2)</f>
        <v/>
      </c>
      <c r="P594">
        <f>IF($B594=0,"",SUMPRODUCT('_motor'!$B$586:$B$665*('_motor'!$L$586:$L$665&gt;$L594))+(SUMPRODUCT('_motor'!$B$586:$B$665*('_motor'!$L$586:$L$665=$L594))+1)/2)</f>
        <v/>
      </c>
    </row>
    <row r="595" spans="1:16" x14ac:dyDescent="0.2">
      <c r="A595">
        <f>'02 · Variables'!$B$16</f>
      </c>
      <c r="B595">
        <f>IF('02 · Variables'!$C$16&lt;&gt;"",1,0)</f>
      </c>
      <c r="C595">
        <f>SUM('_motor'!$A$20:$CB$20)</f>
      </c>
      <c r="D595">
        <f>SUM('_motor'!J$11:J$90)</f>
      </c>
      <c r="E595">
        <f>SUM('_motor'!$A$266:$CB$266)</f>
      </c>
      <c r="F595">
        <f>SUM('_motor'!J$257:J$336)</f>
      </c>
      <c r="G595">
        <f>SUM('_motor'!$A$102:$CB$102)</f>
      </c>
      <c r="H595">
        <f>SUM('_motor'!J$93:J$172)</f>
      </c>
      <c r="I595">
        <f>SUM('_motor'!$A$512:$CB$512)</f>
      </c>
      <c r="J595">
        <f>SUM('_motor'!J$503:J$582)</f>
      </c>
      <c r="K595">
        <f>SUM('_motor'!$A$184:$CB$184)</f>
      </c>
      <c r="L595">
        <f>SUM('_motor'!$A$348:$CB$348)</f>
      </c>
      <c r="M595">
        <f>IF($B595=0,"",SUMPRODUCT('_motor'!$B$586:$B$665*('_motor'!$C$586:$C$665&gt;$C595))+(SUMPRODUCT('_motor'!$B$586:$B$665*('_motor'!$C$586:$C$665=$C595))+1)/2)</f>
        <v/>
      </c>
      <c r="N595">
        <f>IF($B595=0,"",SUMPRODUCT('_motor'!$B$586:$B$665*('_motor'!$K$586:$K$665&gt;$K595))+(SUMPRODUCT('_motor'!$B$586:$B$665*('_motor'!$K$586:$K$665=$K595))+1)/2)</f>
        <v/>
      </c>
      <c r="O595">
        <f>IF($B595=0,"",SUMPRODUCT('_motor'!$B$586:$B$665*('_motor'!$E$586:$E$665&gt;$E595))+(SUMPRODUCT('_motor'!$B$586:$B$665*('_motor'!$E$586:$E$665=$E595))+1)/2)</f>
        <v/>
      </c>
      <c r="P595">
        <f>IF($B595=0,"",SUMPRODUCT('_motor'!$B$586:$B$665*('_motor'!$L$586:$L$665&gt;$L595))+(SUMPRODUCT('_motor'!$B$586:$B$665*('_motor'!$L$586:$L$665=$L595))+1)/2)</f>
        <v/>
      </c>
    </row>
    <row r="596" spans="1:16" x14ac:dyDescent="0.2">
      <c r="A596">
        <f>'02 · Variables'!$B$17</f>
      </c>
      <c r="B596">
        <f>IF('02 · Variables'!$C$17&lt;&gt;"",1,0)</f>
      </c>
      <c r="C596">
        <f>SUM('_motor'!$A$21:$CB$21)</f>
      </c>
      <c r="D596">
        <f>SUM('_motor'!K$11:K$90)</f>
      </c>
      <c r="E596">
        <f>SUM('_motor'!$A$267:$CB$267)</f>
      </c>
      <c r="F596">
        <f>SUM('_motor'!K$257:K$336)</f>
      </c>
      <c r="G596">
        <f>SUM('_motor'!$A$103:$CB$103)</f>
      </c>
      <c r="H596">
        <f>SUM('_motor'!K$93:K$172)</f>
      </c>
      <c r="I596">
        <f>SUM('_motor'!$A$513:$CB$513)</f>
      </c>
      <c r="J596">
        <f>SUM('_motor'!K$503:K$582)</f>
      </c>
      <c r="K596">
        <f>SUM('_motor'!$A$185:$CB$185)</f>
      </c>
      <c r="L596">
        <f>SUM('_motor'!$A$349:$CB$349)</f>
      </c>
      <c r="M596">
        <f>IF($B596=0,"",SUMPRODUCT('_motor'!$B$586:$B$665*('_motor'!$C$586:$C$665&gt;$C596))+(SUMPRODUCT('_motor'!$B$586:$B$665*('_motor'!$C$586:$C$665=$C596))+1)/2)</f>
        <v/>
      </c>
      <c r="N596">
        <f>IF($B596=0,"",SUMPRODUCT('_motor'!$B$586:$B$665*('_motor'!$K$586:$K$665&gt;$K596))+(SUMPRODUCT('_motor'!$B$586:$B$665*('_motor'!$K$586:$K$665=$K596))+1)/2)</f>
        <v/>
      </c>
      <c r="O596">
        <f>IF($B596=0,"",SUMPRODUCT('_motor'!$B$586:$B$665*('_motor'!$E$586:$E$665&gt;$E596))+(SUMPRODUCT('_motor'!$B$586:$B$665*('_motor'!$E$586:$E$665=$E596))+1)/2)</f>
        <v/>
      </c>
      <c r="P596">
        <f>IF($B596=0,"",SUMPRODUCT('_motor'!$B$586:$B$665*('_motor'!$L$586:$L$665&gt;$L596))+(SUMPRODUCT('_motor'!$B$586:$B$665*('_motor'!$L$586:$L$665=$L596))+1)/2)</f>
        <v/>
      </c>
    </row>
    <row r="597" spans="1:16" x14ac:dyDescent="0.2">
      <c r="A597">
        <f>'02 · Variables'!$B$18</f>
      </c>
      <c r="B597">
        <f>IF('02 · Variables'!$C$18&lt;&gt;"",1,0)</f>
      </c>
      <c r="C597">
        <f>SUM('_motor'!$A$22:$CB$22)</f>
      </c>
      <c r="D597">
        <f>SUM('_motor'!L$11:L$90)</f>
      </c>
      <c r="E597">
        <f>SUM('_motor'!$A$268:$CB$268)</f>
      </c>
      <c r="F597">
        <f>SUM('_motor'!L$257:L$336)</f>
      </c>
      <c r="G597">
        <f>SUM('_motor'!$A$104:$CB$104)</f>
      </c>
      <c r="H597">
        <f>SUM('_motor'!L$93:L$172)</f>
      </c>
      <c r="I597">
        <f>SUM('_motor'!$A$514:$CB$514)</f>
      </c>
      <c r="J597">
        <f>SUM('_motor'!L$503:L$582)</f>
      </c>
      <c r="K597">
        <f>SUM('_motor'!$A$186:$CB$186)</f>
      </c>
      <c r="L597">
        <f>SUM('_motor'!$A$350:$CB$350)</f>
      </c>
      <c r="M597">
        <f>IF($B597=0,"",SUMPRODUCT('_motor'!$B$586:$B$665*('_motor'!$C$586:$C$665&gt;$C597))+(SUMPRODUCT('_motor'!$B$586:$B$665*('_motor'!$C$586:$C$665=$C597))+1)/2)</f>
        <v/>
      </c>
      <c r="N597">
        <f>IF($B597=0,"",SUMPRODUCT('_motor'!$B$586:$B$665*('_motor'!$K$586:$K$665&gt;$K597))+(SUMPRODUCT('_motor'!$B$586:$B$665*('_motor'!$K$586:$K$665=$K597))+1)/2)</f>
        <v/>
      </c>
      <c r="O597">
        <f>IF($B597=0,"",SUMPRODUCT('_motor'!$B$586:$B$665*('_motor'!$E$586:$E$665&gt;$E597))+(SUMPRODUCT('_motor'!$B$586:$B$665*('_motor'!$E$586:$E$665=$E597))+1)/2)</f>
        <v/>
      </c>
      <c r="P597">
        <f>IF($B597=0,"",SUMPRODUCT('_motor'!$B$586:$B$665*('_motor'!$L$586:$L$665&gt;$L597))+(SUMPRODUCT('_motor'!$B$586:$B$665*('_motor'!$L$586:$L$665=$L597))+1)/2)</f>
        <v/>
      </c>
    </row>
    <row r="598" spans="1:16" x14ac:dyDescent="0.2">
      <c r="A598">
        <f>'02 · Variables'!$B$19</f>
      </c>
      <c r="B598">
        <f>IF('02 · Variables'!$C$19&lt;&gt;"",1,0)</f>
      </c>
      <c r="C598">
        <f>SUM('_motor'!$A$23:$CB$23)</f>
      </c>
      <c r="D598">
        <f>SUM('_motor'!M$11:M$90)</f>
      </c>
      <c r="E598">
        <f>SUM('_motor'!$A$269:$CB$269)</f>
      </c>
      <c r="F598">
        <f>SUM('_motor'!M$257:M$336)</f>
      </c>
      <c r="G598">
        <f>SUM('_motor'!$A$105:$CB$105)</f>
      </c>
      <c r="H598">
        <f>SUM('_motor'!M$93:M$172)</f>
      </c>
      <c r="I598">
        <f>SUM('_motor'!$A$515:$CB$515)</f>
      </c>
      <c r="J598">
        <f>SUM('_motor'!M$503:M$582)</f>
      </c>
      <c r="K598">
        <f>SUM('_motor'!$A$187:$CB$187)</f>
      </c>
      <c r="L598">
        <f>SUM('_motor'!$A$351:$CB$351)</f>
      </c>
      <c r="M598">
        <f>IF($B598=0,"",SUMPRODUCT('_motor'!$B$586:$B$665*('_motor'!$C$586:$C$665&gt;$C598))+(SUMPRODUCT('_motor'!$B$586:$B$665*('_motor'!$C$586:$C$665=$C598))+1)/2)</f>
        <v/>
      </c>
      <c r="N598">
        <f>IF($B598=0,"",SUMPRODUCT('_motor'!$B$586:$B$665*('_motor'!$K$586:$K$665&gt;$K598))+(SUMPRODUCT('_motor'!$B$586:$B$665*('_motor'!$K$586:$K$665=$K598))+1)/2)</f>
        <v/>
      </c>
      <c r="O598">
        <f>IF($B598=0,"",SUMPRODUCT('_motor'!$B$586:$B$665*('_motor'!$E$586:$E$665&gt;$E598))+(SUMPRODUCT('_motor'!$B$586:$B$665*('_motor'!$E$586:$E$665=$E598))+1)/2)</f>
        <v/>
      </c>
      <c r="P598">
        <f>IF($B598=0,"",SUMPRODUCT('_motor'!$B$586:$B$665*('_motor'!$L$586:$L$665&gt;$L598))+(SUMPRODUCT('_motor'!$B$586:$B$665*('_motor'!$L$586:$L$665=$L598))+1)/2)</f>
        <v/>
      </c>
    </row>
    <row r="599" spans="1:16" x14ac:dyDescent="0.2">
      <c r="A599">
        <f>'02 · Variables'!$B$20</f>
      </c>
      <c r="B599">
        <f>IF('02 · Variables'!$C$20&lt;&gt;"",1,0)</f>
      </c>
      <c r="C599">
        <f>SUM('_motor'!$A$24:$CB$24)</f>
      </c>
      <c r="D599">
        <f>SUM('_motor'!N$11:N$90)</f>
      </c>
      <c r="E599">
        <f>SUM('_motor'!$A$270:$CB$270)</f>
      </c>
      <c r="F599">
        <f>SUM('_motor'!N$257:N$336)</f>
      </c>
      <c r="G599">
        <f>SUM('_motor'!$A$106:$CB$106)</f>
      </c>
      <c r="H599">
        <f>SUM('_motor'!N$93:N$172)</f>
      </c>
      <c r="I599">
        <f>SUM('_motor'!$A$516:$CB$516)</f>
      </c>
      <c r="J599">
        <f>SUM('_motor'!N$503:N$582)</f>
      </c>
      <c r="K599">
        <f>SUM('_motor'!$A$188:$CB$188)</f>
      </c>
      <c r="L599">
        <f>SUM('_motor'!$A$352:$CB$352)</f>
      </c>
      <c r="M599">
        <f>IF($B599=0,"",SUMPRODUCT('_motor'!$B$586:$B$665*('_motor'!$C$586:$C$665&gt;$C599))+(SUMPRODUCT('_motor'!$B$586:$B$665*('_motor'!$C$586:$C$665=$C599))+1)/2)</f>
        <v/>
      </c>
      <c r="N599">
        <f>IF($B599=0,"",SUMPRODUCT('_motor'!$B$586:$B$665*('_motor'!$K$586:$K$665&gt;$K599))+(SUMPRODUCT('_motor'!$B$586:$B$665*('_motor'!$K$586:$K$665=$K599))+1)/2)</f>
        <v/>
      </c>
      <c r="O599">
        <f>IF($B599=0,"",SUMPRODUCT('_motor'!$B$586:$B$665*('_motor'!$E$586:$E$665&gt;$E599))+(SUMPRODUCT('_motor'!$B$586:$B$665*('_motor'!$E$586:$E$665=$E599))+1)/2)</f>
        <v/>
      </c>
      <c r="P599">
        <f>IF($B599=0,"",SUMPRODUCT('_motor'!$B$586:$B$665*('_motor'!$L$586:$L$665&gt;$L599))+(SUMPRODUCT('_motor'!$B$586:$B$665*('_motor'!$L$586:$L$665=$L599))+1)/2)</f>
        <v/>
      </c>
    </row>
    <row r="600" spans="1:16" x14ac:dyDescent="0.2">
      <c r="A600">
        <f>'02 · Variables'!$B$21</f>
      </c>
      <c r="B600">
        <f>IF('02 · Variables'!$C$21&lt;&gt;"",1,0)</f>
      </c>
      <c r="C600">
        <f>SUM('_motor'!$A$25:$CB$25)</f>
      </c>
      <c r="D600">
        <f>SUM('_motor'!O$11:O$90)</f>
      </c>
      <c r="E600">
        <f>SUM('_motor'!$A$271:$CB$271)</f>
      </c>
      <c r="F600">
        <f>SUM('_motor'!O$257:O$336)</f>
      </c>
      <c r="G600">
        <f>SUM('_motor'!$A$107:$CB$107)</f>
      </c>
      <c r="H600">
        <f>SUM('_motor'!O$93:O$172)</f>
      </c>
      <c r="I600">
        <f>SUM('_motor'!$A$517:$CB$517)</f>
      </c>
      <c r="J600">
        <f>SUM('_motor'!O$503:O$582)</f>
      </c>
      <c r="K600">
        <f>SUM('_motor'!$A$189:$CB$189)</f>
      </c>
      <c r="L600">
        <f>SUM('_motor'!$A$353:$CB$353)</f>
      </c>
      <c r="M600">
        <f>IF($B600=0,"",SUMPRODUCT('_motor'!$B$586:$B$665*('_motor'!$C$586:$C$665&gt;$C600))+(SUMPRODUCT('_motor'!$B$586:$B$665*('_motor'!$C$586:$C$665=$C600))+1)/2)</f>
        <v/>
      </c>
      <c r="N600">
        <f>IF($B600=0,"",SUMPRODUCT('_motor'!$B$586:$B$665*('_motor'!$K$586:$K$665&gt;$K600))+(SUMPRODUCT('_motor'!$B$586:$B$665*('_motor'!$K$586:$K$665=$K600))+1)/2)</f>
        <v/>
      </c>
      <c r="O600">
        <f>IF($B600=0,"",SUMPRODUCT('_motor'!$B$586:$B$665*('_motor'!$E$586:$E$665&gt;$E600))+(SUMPRODUCT('_motor'!$B$586:$B$665*('_motor'!$E$586:$E$665=$E600))+1)/2)</f>
        <v/>
      </c>
      <c r="P600">
        <f>IF($B600=0,"",SUMPRODUCT('_motor'!$B$586:$B$665*('_motor'!$L$586:$L$665&gt;$L600))+(SUMPRODUCT('_motor'!$B$586:$B$665*('_motor'!$L$586:$L$665=$L600))+1)/2)</f>
        <v/>
      </c>
    </row>
    <row r="601" spans="1:16" x14ac:dyDescent="0.2">
      <c r="A601">
        <f>'02 · Variables'!$B$22</f>
      </c>
      <c r="B601">
        <f>IF('02 · Variables'!$C$22&lt;&gt;"",1,0)</f>
      </c>
      <c r="C601">
        <f>SUM('_motor'!$A$26:$CB$26)</f>
      </c>
      <c r="D601">
        <f>SUM('_motor'!P$11:P$90)</f>
      </c>
      <c r="E601">
        <f>SUM('_motor'!$A$272:$CB$272)</f>
      </c>
      <c r="F601">
        <f>SUM('_motor'!P$257:P$336)</f>
      </c>
      <c r="G601">
        <f>SUM('_motor'!$A$108:$CB$108)</f>
      </c>
      <c r="H601">
        <f>SUM('_motor'!P$93:P$172)</f>
      </c>
      <c r="I601">
        <f>SUM('_motor'!$A$518:$CB$518)</f>
      </c>
      <c r="J601">
        <f>SUM('_motor'!P$503:P$582)</f>
      </c>
      <c r="K601">
        <f>SUM('_motor'!$A$190:$CB$190)</f>
      </c>
      <c r="L601">
        <f>SUM('_motor'!$A$354:$CB$354)</f>
      </c>
      <c r="M601">
        <f>IF($B601=0,"",SUMPRODUCT('_motor'!$B$586:$B$665*('_motor'!$C$586:$C$665&gt;$C601))+(SUMPRODUCT('_motor'!$B$586:$B$665*('_motor'!$C$586:$C$665=$C601))+1)/2)</f>
        <v/>
      </c>
      <c r="N601">
        <f>IF($B601=0,"",SUMPRODUCT('_motor'!$B$586:$B$665*('_motor'!$K$586:$K$665&gt;$K601))+(SUMPRODUCT('_motor'!$B$586:$B$665*('_motor'!$K$586:$K$665=$K601))+1)/2)</f>
        <v/>
      </c>
      <c r="O601">
        <f>IF($B601=0,"",SUMPRODUCT('_motor'!$B$586:$B$665*('_motor'!$E$586:$E$665&gt;$E601))+(SUMPRODUCT('_motor'!$B$586:$B$665*('_motor'!$E$586:$E$665=$E601))+1)/2)</f>
        <v/>
      </c>
      <c r="P601">
        <f>IF($B601=0,"",SUMPRODUCT('_motor'!$B$586:$B$665*('_motor'!$L$586:$L$665&gt;$L601))+(SUMPRODUCT('_motor'!$B$586:$B$665*('_motor'!$L$586:$L$665=$L601))+1)/2)</f>
        <v/>
      </c>
    </row>
    <row r="602" spans="1:16" x14ac:dyDescent="0.2">
      <c r="A602">
        <f>'02 · Variables'!$B$23</f>
      </c>
      <c r="B602">
        <f>IF('02 · Variables'!$C$23&lt;&gt;"",1,0)</f>
      </c>
      <c r="C602">
        <f>SUM('_motor'!$A$27:$CB$27)</f>
      </c>
      <c r="D602">
        <f>SUM('_motor'!Q$11:Q$90)</f>
      </c>
      <c r="E602">
        <f>SUM('_motor'!$A$273:$CB$273)</f>
      </c>
      <c r="F602">
        <f>SUM('_motor'!Q$257:Q$336)</f>
      </c>
      <c r="G602">
        <f>SUM('_motor'!$A$109:$CB$109)</f>
      </c>
      <c r="H602">
        <f>SUM('_motor'!Q$93:Q$172)</f>
      </c>
      <c r="I602">
        <f>SUM('_motor'!$A$519:$CB$519)</f>
      </c>
      <c r="J602">
        <f>SUM('_motor'!Q$503:Q$582)</f>
      </c>
      <c r="K602">
        <f>SUM('_motor'!$A$191:$CB$191)</f>
      </c>
      <c r="L602">
        <f>SUM('_motor'!$A$355:$CB$355)</f>
      </c>
      <c r="M602">
        <f>IF($B602=0,"",SUMPRODUCT('_motor'!$B$586:$B$665*('_motor'!$C$586:$C$665&gt;$C602))+(SUMPRODUCT('_motor'!$B$586:$B$665*('_motor'!$C$586:$C$665=$C602))+1)/2)</f>
        <v/>
      </c>
      <c r="N602">
        <f>IF($B602=0,"",SUMPRODUCT('_motor'!$B$586:$B$665*('_motor'!$K$586:$K$665&gt;$K602))+(SUMPRODUCT('_motor'!$B$586:$B$665*('_motor'!$K$586:$K$665=$K602))+1)/2)</f>
        <v/>
      </c>
      <c r="O602">
        <f>IF($B602=0,"",SUMPRODUCT('_motor'!$B$586:$B$665*('_motor'!$E$586:$E$665&gt;$E602))+(SUMPRODUCT('_motor'!$B$586:$B$665*('_motor'!$E$586:$E$665=$E602))+1)/2)</f>
        <v/>
      </c>
      <c r="P602">
        <f>IF($B602=0,"",SUMPRODUCT('_motor'!$B$586:$B$665*('_motor'!$L$586:$L$665&gt;$L602))+(SUMPRODUCT('_motor'!$B$586:$B$665*('_motor'!$L$586:$L$665=$L602))+1)/2)</f>
        <v/>
      </c>
    </row>
    <row r="603" spans="1:16" x14ac:dyDescent="0.2">
      <c r="A603">
        <f>'02 · Variables'!$B$24</f>
      </c>
      <c r="B603">
        <f>IF('02 · Variables'!$C$24&lt;&gt;"",1,0)</f>
      </c>
      <c r="C603">
        <f>SUM('_motor'!$A$28:$CB$28)</f>
      </c>
      <c r="D603">
        <f>SUM('_motor'!R$11:R$90)</f>
      </c>
      <c r="E603">
        <f>SUM('_motor'!$A$274:$CB$274)</f>
      </c>
      <c r="F603">
        <f>SUM('_motor'!R$257:R$336)</f>
      </c>
      <c r="G603">
        <f>SUM('_motor'!$A$110:$CB$110)</f>
      </c>
      <c r="H603">
        <f>SUM('_motor'!R$93:R$172)</f>
      </c>
      <c r="I603">
        <f>SUM('_motor'!$A$520:$CB$520)</f>
      </c>
      <c r="J603">
        <f>SUM('_motor'!R$503:R$582)</f>
      </c>
      <c r="K603">
        <f>SUM('_motor'!$A$192:$CB$192)</f>
      </c>
      <c r="L603">
        <f>SUM('_motor'!$A$356:$CB$356)</f>
      </c>
      <c r="M603">
        <f>IF($B603=0,"",SUMPRODUCT('_motor'!$B$586:$B$665*('_motor'!$C$586:$C$665&gt;$C603))+(SUMPRODUCT('_motor'!$B$586:$B$665*('_motor'!$C$586:$C$665=$C603))+1)/2)</f>
        <v/>
      </c>
      <c r="N603">
        <f>IF($B603=0,"",SUMPRODUCT('_motor'!$B$586:$B$665*('_motor'!$K$586:$K$665&gt;$K603))+(SUMPRODUCT('_motor'!$B$586:$B$665*('_motor'!$K$586:$K$665=$K603))+1)/2)</f>
        <v/>
      </c>
      <c r="O603">
        <f>IF($B603=0,"",SUMPRODUCT('_motor'!$B$586:$B$665*('_motor'!$E$586:$E$665&gt;$E603))+(SUMPRODUCT('_motor'!$B$586:$B$665*('_motor'!$E$586:$E$665=$E603))+1)/2)</f>
        <v/>
      </c>
      <c r="P603">
        <f>IF($B603=0,"",SUMPRODUCT('_motor'!$B$586:$B$665*('_motor'!$L$586:$L$665&gt;$L603))+(SUMPRODUCT('_motor'!$B$586:$B$665*('_motor'!$L$586:$L$665=$L603))+1)/2)</f>
        <v/>
      </c>
    </row>
    <row r="604" spans="1:16" x14ac:dyDescent="0.2">
      <c r="A604">
        <f>'02 · Variables'!$B$25</f>
      </c>
      <c r="B604">
        <f>IF('02 · Variables'!$C$25&lt;&gt;"",1,0)</f>
      </c>
      <c r="C604">
        <f>SUM('_motor'!$A$29:$CB$29)</f>
      </c>
      <c r="D604">
        <f>SUM('_motor'!S$11:S$90)</f>
      </c>
      <c r="E604">
        <f>SUM('_motor'!$A$275:$CB$275)</f>
      </c>
      <c r="F604">
        <f>SUM('_motor'!S$257:S$336)</f>
      </c>
      <c r="G604">
        <f>SUM('_motor'!$A$111:$CB$111)</f>
      </c>
      <c r="H604">
        <f>SUM('_motor'!S$93:S$172)</f>
      </c>
      <c r="I604">
        <f>SUM('_motor'!$A$521:$CB$521)</f>
      </c>
      <c r="J604">
        <f>SUM('_motor'!S$503:S$582)</f>
      </c>
      <c r="K604">
        <f>SUM('_motor'!$A$193:$CB$193)</f>
      </c>
      <c r="L604">
        <f>SUM('_motor'!$A$357:$CB$357)</f>
      </c>
      <c r="M604">
        <f>IF($B604=0,"",SUMPRODUCT('_motor'!$B$586:$B$665*('_motor'!$C$586:$C$665&gt;$C604))+(SUMPRODUCT('_motor'!$B$586:$B$665*('_motor'!$C$586:$C$665=$C604))+1)/2)</f>
        <v/>
      </c>
      <c r="N604">
        <f>IF($B604=0,"",SUMPRODUCT('_motor'!$B$586:$B$665*('_motor'!$K$586:$K$665&gt;$K604))+(SUMPRODUCT('_motor'!$B$586:$B$665*('_motor'!$K$586:$K$665=$K604))+1)/2)</f>
        <v/>
      </c>
      <c r="O604">
        <f>IF($B604=0,"",SUMPRODUCT('_motor'!$B$586:$B$665*('_motor'!$E$586:$E$665&gt;$E604))+(SUMPRODUCT('_motor'!$B$586:$B$665*('_motor'!$E$586:$E$665=$E604))+1)/2)</f>
        <v/>
      </c>
      <c r="P604">
        <f>IF($B604=0,"",SUMPRODUCT('_motor'!$B$586:$B$665*('_motor'!$L$586:$L$665&gt;$L604))+(SUMPRODUCT('_motor'!$B$586:$B$665*('_motor'!$L$586:$L$665=$L604))+1)/2)</f>
        <v/>
      </c>
    </row>
    <row r="605" spans="1:16" x14ac:dyDescent="0.2">
      <c r="A605">
        <f>'02 · Variables'!$B$26</f>
      </c>
      <c r="B605">
        <f>IF('02 · Variables'!$C$26&lt;&gt;"",1,0)</f>
      </c>
      <c r="C605">
        <f>SUM('_motor'!$A$30:$CB$30)</f>
      </c>
      <c r="D605">
        <f>SUM('_motor'!T$11:T$90)</f>
      </c>
      <c r="E605">
        <f>SUM('_motor'!$A$276:$CB$276)</f>
      </c>
      <c r="F605">
        <f>SUM('_motor'!T$257:T$336)</f>
      </c>
      <c r="G605">
        <f>SUM('_motor'!$A$112:$CB$112)</f>
      </c>
      <c r="H605">
        <f>SUM('_motor'!T$93:T$172)</f>
      </c>
      <c r="I605">
        <f>SUM('_motor'!$A$522:$CB$522)</f>
      </c>
      <c r="J605">
        <f>SUM('_motor'!T$503:T$582)</f>
      </c>
      <c r="K605">
        <f>SUM('_motor'!$A$194:$CB$194)</f>
      </c>
      <c r="L605">
        <f>SUM('_motor'!$A$358:$CB$358)</f>
      </c>
      <c r="M605">
        <f>IF($B605=0,"",SUMPRODUCT('_motor'!$B$586:$B$665*('_motor'!$C$586:$C$665&gt;$C605))+(SUMPRODUCT('_motor'!$B$586:$B$665*('_motor'!$C$586:$C$665=$C605))+1)/2)</f>
        <v/>
      </c>
      <c r="N605">
        <f>IF($B605=0,"",SUMPRODUCT('_motor'!$B$586:$B$665*('_motor'!$K$586:$K$665&gt;$K605))+(SUMPRODUCT('_motor'!$B$586:$B$665*('_motor'!$K$586:$K$665=$K605))+1)/2)</f>
        <v/>
      </c>
      <c r="O605">
        <f>IF($B605=0,"",SUMPRODUCT('_motor'!$B$586:$B$665*('_motor'!$E$586:$E$665&gt;$E605))+(SUMPRODUCT('_motor'!$B$586:$B$665*('_motor'!$E$586:$E$665=$E605))+1)/2)</f>
        <v/>
      </c>
      <c r="P605">
        <f>IF($B605=0,"",SUMPRODUCT('_motor'!$B$586:$B$665*('_motor'!$L$586:$L$665&gt;$L605))+(SUMPRODUCT('_motor'!$B$586:$B$665*('_motor'!$L$586:$L$665=$L605))+1)/2)</f>
        <v/>
      </c>
    </row>
    <row r="606" spans="1:16" x14ac:dyDescent="0.2">
      <c r="A606">
        <f>'02 · Variables'!$B$27</f>
      </c>
      <c r="B606">
        <f>IF('02 · Variables'!$C$27&lt;&gt;"",1,0)</f>
      </c>
      <c r="C606">
        <f>SUM('_motor'!$A$31:$CB$31)</f>
      </c>
      <c r="D606">
        <f>SUM('_motor'!U$11:U$90)</f>
      </c>
      <c r="E606">
        <f>SUM('_motor'!$A$277:$CB$277)</f>
      </c>
      <c r="F606">
        <f>SUM('_motor'!U$257:U$336)</f>
      </c>
      <c r="G606">
        <f>SUM('_motor'!$A$113:$CB$113)</f>
      </c>
      <c r="H606">
        <f>SUM('_motor'!U$93:U$172)</f>
      </c>
      <c r="I606">
        <f>SUM('_motor'!$A$523:$CB$523)</f>
      </c>
      <c r="J606">
        <f>SUM('_motor'!U$503:U$582)</f>
      </c>
      <c r="K606">
        <f>SUM('_motor'!$A$195:$CB$195)</f>
      </c>
      <c r="L606">
        <f>SUM('_motor'!$A$359:$CB$359)</f>
      </c>
      <c r="M606">
        <f>IF($B606=0,"",SUMPRODUCT('_motor'!$B$586:$B$665*('_motor'!$C$586:$C$665&gt;$C606))+(SUMPRODUCT('_motor'!$B$586:$B$665*('_motor'!$C$586:$C$665=$C606))+1)/2)</f>
        <v/>
      </c>
      <c r="N606">
        <f>IF($B606=0,"",SUMPRODUCT('_motor'!$B$586:$B$665*('_motor'!$K$586:$K$665&gt;$K606))+(SUMPRODUCT('_motor'!$B$586:$B$665*('_motor'!$K$586:$K$665=$K606))+1)/2)</f>
        <v/>
      </c>
      <c r="O606">
        <f>IF($B606=0,"",SUMPRODUCT('_motor'!$B$586:$B$665*('_motor'!$E$586:$E$665&gt;$E606))+(SUMPRODUCT('_motor'!$B$586:$B$665*('_motor'!$E$586:$E$665=$E606))+1)/2)</f>
        <v/>
      </c>
      <c r="P606">
        <f>IF($B606=0,"",SUMPRODUCT('_motor'!$B$586:$B$665*('_motor'!$L$586:$L$665&gt;$L606))+(SUMPRODUCT('_motor'!$B$586:$B$665*('_motor'!$L$586:$L$665=$L606))+1)/2)</f>
        <v/>
      </c>
    </row>
    <row r="607" spans="1:16" x14ac:dyDescent="0.2">
      <c r="A607">
        <f>'02 · Variables'!$B$28</f>
      </c>
      <c r="B607">
        <f>IF('02 · Variables'!$C$28&lt;&gt;"",1,0)</f>
      </c>
      <c r="C607">
        <f>SUM('_motor'!$A$32:$CB$32)</f>
      </c>
      <c r="D607">
        <f>SUM('_motor'!V$11:V$90)</f>
      </c>
      <c r="E607">
        <f>SUM('_motor'!$A$278:$CB$278)</f>
      </c>
      <c r="F607">
        <f>SUM('_motor'!V$257:V$336)</f>
      </c>
      <c r="G607">
        <f>SUM('_motor'!$A$114:$CB$114)</f>
      </c>
      <c r="H607">
        <f>SUM('_motor'!V$93:V$172)</f>
      </c>
      <c r="I607">
        <f>SUM('_motor'!$A$524:$CB$524)</f>
      </c>
      <c r="J607">
        <f>SUM('_motor'!V$503:V$582)</f>
      </c>
      <c r="K607">
        <f>SUM('_motor'!$A$196:$CB$196)</f>
      </c>
      <c r="L607">
        <f>SUM('_motor'!$A$360:$CB$360)</f>
      </c>
      <c r="M607">
        <f>IF($B607=0,"",SUMPRODUCT('_motor'!$B$586:$B$665*('_motor'!$C$586:$C$665&gt;$C607))+(SUMPRODUCT('_motor'!$B$586:$B$665*('_motor'!$C$586:$C$665=$C607))+1)/2)</f>
        <v/>
      </c>
      <c r="N607">
        <f>IF($B607=0,"",SUMPRODUCT('_motor'!$B$586:$B$665*('_motor'!$K$586:$K$665&gt;$K607))+(SUMPRODUCT('_motor'!$B$586:$B$665*('_motor'!$K$586:$K$665=$K607))+1)/2)</f>
        <v/>
      </c>
      <c r="O607">
        <f>IF($B607=0,"",SUMPRODUCT('_motor'!$B$586:$B$665*('_motor'!$E$586:$E$665&gt;$E607))+(SUMPRODUCT('_motor'!$B$586:$B$665*('_motor'!$E$586:$E$665=$E607))+1)/2)</f>
        <v/>
      </c>
      <c r="P607">
        <f>IF($B607=0,"",SUMPRODUCT('_motor'!$B$586:$B$665*('_motor'!$L$586:$L$665&gt;$L607))+(SUMPRODUCT('_motor'!$B$586:$B$665*('_motor'!$L$586:$L$665=$L607))+1)/2)</f>
        <v/>
      </c>
    </row>
    <row r="608" spans="1:16" x14ac:dyDescent="0.2">
      <c r="A608">
        <f>'02 · Variables'!$B$29</f>
      </c>
      <c r="B608">
        <f>IF('02 · Variables'!$C$29&lt;&gt;"",1,0)</f>
      </c>
      <c r="C608">
        <f>SUM('_motor'!$A$33:$CB$33)</f>
      </c>
      <c r="D608">
        <f>SUM('_motor'!W$11:W$90)</f>
      </c>
      <c r="E608">
        <f>SUM('_motor'!$A$279:$CB$279)</f>
      </c>
      <c r="F608">
        <f>SUM('_motor'!W$257:W$336)</f>
      </c>
      <c r="G608">
        <f>SUM('_motor'!$A$115:$CB$115)</f>
      </c>
      <c r="H608">
        <f>SUM('_motor'!W$93:W$172)</f>
      </c>
      <c r="I608">
        <f>SUM('_motor'!$A$525:$CB$525)</f>
      </c>
      <c r="J608">
        <f>SUM('_motor'!W$503:W$582)</f>
      </c>
      <c r="K608">
        <f>SUM('_motor'!$A$197:$CB$197)</f>
      </c>
      <c r="L608">
        <f>SUM('_motor'!$A$361:$CB$361)</f>
      </c>
      <c r="M608">
        <f>IF($B608=0,"",SUMPRODUCT('_motor'!$B$586:$B$665*('_motor'!$C$586:$C$665&gt;$C608))+(SUMPRODUCT('_motor'!$B$586:$B$665*('_motor'!$C$586:$C$665=$C608))+1)/2)</f>
        <v/>
      </c>
      <c r="N608">
        <f>IF($B608=0,"",SUMPRODUCT('_motor'!$B$586:$B$665*('_motor'!$K$586:$K$665&gt;$K608))+(SUMPRODUCT('_motor'!$B$586:$B$665*('_motor'!$K$586:$K$665=$K608))+1)/2)</f>
        <v/>
      </c>
      <c r="O608">
        <f>IF($B608=0,"",SUMPRODUCT('_motor'!$B$586:$B$665*('_motor'!$E$586:$E$665&gt;$E608))+(SUMPRODUCT('_motor'!$B$586:$B$665*('_motor'!$E$586:$E$665=$E608))+1)/2)</f>
        <v/>
      </c>
      <c r="P608">
        <f>IF($B608=0,"",SUMPRODUCT('_motor'!$B$586:$B$665*('_motor'!$L$586:$L$665&gt;$L608))+(SUMPRODUCT('_motor'!$B$586:$B$665*('_motor'!$L$586:$L$665=$L608))+1)/2)</f>
        <v/>
      </c>
    </row>
    <row r="609" spans="1:16" x14ac:dyDescent="0.2">
      <c r="A609">
        <f>'02 · Variables'!$B$30</f>
      </c>
      <c r="B609">
        <f>IF('02 · Variables'!$C$30&lt;&gt;"",1,0)</f>
      </c>
      <c r="C609">
        <f>SUM('_motor'!$A$34:$CB$34)</f>
      </c>
      <c r="D609">
        <f>SUM('_motor'!X$11:X$90)</f>
      </c>
      <c r="E609">
        <f>SUM('_motor'!$A$280:$CB$280)</f>
      </c>
      <c r="F609">
        <f>SUM('_motor'!X$257:X$336)</f>
      </c>
      <c r="G609">
        <f>SUM('_motor'!$A$116:$CB$116)</f>
      </c>
      <c r="H609">
        <f>SUM('_motor'!X$93:X$172)</f>
      </c>
      <c r="I609">
        <f>SUM('_motor'!$A$526:$CB$526)</f>
      </c>
      <c r="J609">
        <f>SUM('_motor'!X$503:X$582)</f>
      </c>
      <c r="K609">
        <f>SUM('_motor'!$A$198:$CB$198)</f>
      </c>
      <c r="L609">
        <f>SUM('_motor'!$A$362:$CB$362)</f>
      </c>
      <c r="M609">
        <f>IF($B609=0,"",SUMPRODUCT('_motor'!$B$586:$B$665*('_motor'!$C$586:$C$665&gt;$C609))+(SUMPRODUCT('_motor'!$B$586:$B$665*('_motor'!$C$586:$C$665=$C609))+1)/2)</f>
        <v/>
      </c>
      <c r="N609">
        <f>IF($B609=0,"",SUMPRODUCT('_motor'!$B$586:$B$665*('_motor'!$K$586:$K$665&gt;$K609))+(SUMPRODUCT('_motor'!$B$586:$B$665*('_motor'!$K$586:$K$665=$K609))+1)/2)</f>
        <v/>
      </c>
      <c r="O609">
        <f>IF($B609=0,"",SUMPRODUCT('_motor'!$B$586:$B$665*('_motor'!$E$586:$E$665&gt;$E609))+(SUMPRODUCT('_motor'!$B$586:$B$665*('_motor'!$E$586:$E$665=$E609))+1)/2)</f>
        <v/>
      </c>
      <c r="P609">
        <f>IF($B609=0,"",SUMPRODUCT('_motor'!$B$586:$B$665*('_motor'!$L$586:$L$665&gt;$L609))+(SUMPRODUCT('_motor'!$B$586:$B$665*('_motor'!$L$586:$L$665=$L609))+1)/2)</f>
        <v/>
      </c>
    </row>
    <row r="610" spans="1:16" x14ac:dyDescent="0.2">
      <c r="A610">
        <f>'02 · Variables'!$B$31</f>
      </c>
      <c r="B610">
        <f>IF('02 · Variables'!$C$31&lt;&gt;"",1,0)</f>
      </c>
      <c r="C610">
        <f>SUM('_motor'!$A$35:$CB$35)</f>
      </c>
      <c r="D610">
        <f>SUM('_motor'!Y$11:Y$90)</f>
      </c>
      <c r="E610">
        <f>SUM('_motor'!$A$281:$CB$281)</f>
      </c>
      <c r="F610">
        <f>SUM('_motor'!Y$257:Y$336)</f>
      </c>
      <c r="G610">
        <f>SUM('_motor'!$A$117:$CB$117)</f>
      </c>
      <c r="H610">
        <f>SUM('_motor'!Y$93:Y$172)</f>
      </c>
      <c r="I610">
        <f>SUM('_motor'!$A$527:$CB$527)</f>
      </c>
      <c r="J610">
        <f>SUM('_motor'!Y$503:Y$582)</f>
      </c>
      <c r="K610">
        <f>SUM('_motor'!$A$199:$CB$199)</f>
      </c>
      <c r="L610">
        <f>SUM('_motor'!$A$363:$CB$363)</f>
      </c>
      <c r="M610">
        <f>IF($B610=0,"",SUMPRODUCT('_motor'!$B$586:$B$665*('_motor'!$C$586:$C$665&gt;$C610))+(SUMPRODUCT('_motor'!$B$586:$B$665*('_motor'!$C$586:$C$665=$C610))+1)/2)</f>
        <v/>
      </c>
      <c r="N610">
        <f>IF($B610=0,"",SUMPRODUCT('_motor'!$B$586:$B$665*('_motor'!$K$586:$K$665&gt;$K610))+(SUMPRODUCT('_motor'!$B$586:$B$665*('_motor'!$K$586:$K$665=$K610))+1)/2)</f>
        <v/>
      </c>
      <c r="O610">
        <f>IF($B610=0,"",SUMPRODUCT('_motor'!$B$586:$B$665*('_motor'!$E$586:$E$665&gt;$E610))+(SUMPRODUCT('_motor'!$B$586:$B$665*('_motor'!$E$586:$E$665=$E610))+1)/2)</f>
        <v/>
      </c>
      <c r="P610">
        <f>IF($B610=0,"",SUMPRODUCT('_motor'!$B$586:$B$665*('_motor'!$L$586:$L$665&gt;$L610))+(SUMPRODUCT('_motor'!$B$586:$B$665*('_motor'!$L$586:$L$665=$L610))+1)/2)</f>
        <v/>
      </c>
    </row>
    <row r="611" spans="1:16" x14ac:dyDescent="0.2">
      <c r="A611">
        <f>'02 · Variables'!$B$32</f>
      </c>
      <c r="B611">
        <f>IF('02 · Variables'!$C$32&lt;&gt;"",1,0)</f>
      </c>
      <c r="C611">
        <f>SUM('_motor'!$A$36:$CB$36)</f>
      </c>
      <c r="D611">
        <f>SUM('_motor'!Z$11:Z$90)</f>
      </c>
      <c r="E611">
        <f>SUM('_motor'!$A$282:$CB$282)</f>
      </c>
      <c r="F611">
        <f>SUM('_motor'!Z$257:Z$336)</f>
      </c>
      <c r="G611">
        <f>SUM('_motor'!$A$118:$CB$118)</f>
      </c>
      <c r="H611">
        <f>SUM('_motor'!Z$93:Z$172)</f>
      </c>
      <c r="I611">
        <f>SUM('_motor'!$A$528:$CB$528)</f>
      </c>
      <c r="J611">
        <f>SUM('_motor'!Z$503:Z$582)</f>
      </c>
      <c r="K611">
        <f>SUM('_motor'!$A$200:$CB$200)</f>
      </c>
      <c r="L611">
        <f>SUM('_motor'!$A$364:$CB$364)</f>
      </c>
      <c r="M611">
        <f>IF($B611=0,"",SUMPRODUCT('_motor'!$B$586:$B$665*('_motor'!$C$586:$C$665&gt;$C611))+(SUMPRODUCT('_motor'!$B$586:$B$665*('_motor'!$C$586:$C$665=$C611))+1)/2)</f>
        <v/>
      </c>
      <c r="N611">
        <f>IF($B611=0,"",SUMPRODUCT('_motor'!$B$586:$B$665*('_motor'!$K$586:$K$665&gt;$K611))+(SUMPRODUCT('_motor'!$B$586:$B$665*('_motor'!$K$586:$K$665=$K611))+1)/2)</f>
        <v/>
      </c>
      <c r="O611">
        <f>IF($B611=0,"",SUMPRODUCT('_motor'!$B$586:$B$665*('_motor'!$E$586:$E$665&gt;$E611))+(SUMPRODUCT('_motor'!$B$586:$B$665*('_motor'!$E$586:$E$665=$E611))+1)/2)</f>
        <v/>
      </c>
      <c r="P611">
        <f>IF($B611=0,"",SUMPRODUCT('_motor'!$B$586:$B$665*('_motor'!$L$586:$L$665&gt;$L611))+(SUMPRODUCT('_motor'!$B$586:$B$665*('_motor'!$L$586:$L$665=$L611))+1)/2)</f>
        <v/>
      </c>
    </row>
    <row r="612" spans="1:16" x14ac:dyDescent="0.2">
      <c r="A612">
        <f>'02 · Variables'!$B$33</f>
      </c>
      <c r="B612">
        <f>IF('02 · Variables'!$C$33&lt;&gt;"",1,0)</f>
      </c>
      <c r="C612">
        <f>SUM('_motor'!$A$37:$CB$37)</f>
      </c>
      <c r="D612">
        <f>SUM('_motor'!AA$11:AA$90)</f>
      </c>
      <c r="E612">
        <f>SUM('_motor'!$A$283:$CB$283)</f>
      </c>
      <c r="F612">
        <f>SUM('_motor'!AA$257:AA$336)</f>
      </c>
      <c r="G612">
        <f>SUM('_motor'!$A$119:$CB$119)</f>
      </c>
      <c r="H612">
        <f>SUM('_motor'!AA$93:AA$172)</f>
      </c>
      <c r="I612">
        <f>SUM('_motor'!$A$529:$CB$529)</f>
      </c>
      <c r="J612">
        <f>SUM('_motor'!AA$503:AA$582)</f>
      </c>
      <c r="K612">
        <f>SUM('_motor'!$A$201:$CB$201)</f>
      </c>
      <c r="L612">
        <f>SUM('_motor'!$A$365:$CB$365)</f>
      </c>
      <c r="M612">
        <f>IF($B612=0,"",SUMPRODUCT('_motor'!$B$586:$B$665*('_motor'!$C$586:$C$665&gt;$C612))+(SUMPRODUCT('_motor'!$B$586:$B$665*('_motor'!$C$586:$C$665=$C612))+1)/2)</f>
        <v/>
      </c>
      <c r="N612">
        <f>IF($B612=0,"",SUMPRODUCT('_motor'!$B$586:$B$665*('_motor'!$K$586:$K$665&gt;$K612))+(SUMPRODUCT('_motor'!$B$586:$B$665*('_motor'!$K$586:$K$665=$K612))+1)/2)</f>
        <v/>
      </c>
      <c r="O612">
        <f>IF($B612=0,"",SUMPRODUCT('_motor'!$B$586:$B$665*('_motor'!$E$586:$E$665&gt;$E612))+(SUMPRODUCT('_motor'!$B$586:$B$665*('_motor'!$E$586:$E$665=$E612))+1)/2)</f>
        <v/>
      </c>
      <c r="P612">
        <f>IF($B612=0,"",SUMPRODUCT('_motor'!$B$586:$B$665*('_motor'!$L$586:$L$665&gt;$L612))+(SUMPRODUCT('_motor'!$B$586:$B$665*('_motor'!$L$586:$L$665=$L612))+1)/2)</f>
        <v/>
      </c>
    </row>
    <row r="613" spans="1:16" x14ac:dyDescent="0.2">
      <c r="A613">
        <f>'02 · Variables'!$B$34</f>
      </c>
      <c r="B613">
        <f>IF('02 · Variables'!$C$34&lt;&gt;"",1,0)</f>
      </c>
      <c r="C613">
        <f>SUM('_motor'!$A$38:$CB$38)</f>
      </c>
      <c r="D613">
        <f>SUM('_motor'!AB$11:AB$90)</f>
      </c>
      <c r="E613">
        <f>SUM('_motor'!$A$284:$CB$284)</f>
      </c>
      <c r="F613">
        <f>SUM('_motor'!AB$257:AB$336)</f>
      </c>
      <c r="G613">
        <f>SUM('_motor'!$A$120:$CB$120)</f>
      </c>
      <c r="H613">
        <f>SUM('_motor'!AB$93:AB$172)</f>
      </c>
      <c r="I613">
        <f>SUM('_motor'!$A$530:$CB$530)</f>
      </c>
      <c r="J613">
        <f>SUM('_motor'!AB$503:AB$582)</f>
      </c>
      <c r="K613">
        <f>SUM('_motor'!$A$202:$CB$202)</f>
      </c>
      <c r="L613">
        <f>SUM('_motor'!$A$366:$CB$366)</f>
      </c>
      <c r="M613">
        <f>IF($B613=0,"",SUMPRODUCT('_motor'!$B$586:$B$665*('_motor'!$C$586:$C$665&gt;$C613))+(SUMPRODUCT('_motor'!$B$586:$B$665*('_motor'!$C$586:$C$665=$C613))+1)/2)</f>
        <v/>
      </c>
      <c r="N613">
        <f>IF($B613=0,"",SUMPRODUCT('_motor'!$B$586:$B$665*('_motor'!$K$586:$K$665&gt;$K613))+(SUMPRODUCT('_motor'!$B$586:$B$665*('_motor'!$K$586:$K$665=$K613))+1)/2)</f>
        <v/>
      </c>
      <c r="O613">
        <f>IF($B613=0,"",SUMPRODUCT('_motor'!$B$586:$B$665*('_motor'!$E$586:$E$665&gt;$E613))+(SUMPRODUCT('_motor'!$B$586:$B$665*('_motor'!$E$586:$E$665=$E613))+1)/2)</f>
        <v/>
      </c>
      <c r="P613">
        <f>IF($B613=0,"",SUMPRODUCT('_motor'!$B$586:$B$665*('_motor'!$L$586:$L$665&gt;$L613))+(SUMPRODUCT('_motor'!$B$586:$B$665*('_motor'!$L$586:$L$665=$L613))+1)/2)</f>
        <v/>
      </c>
    </row>
    <row r="614" spans="1:16" x14ac:dyDescent="0.2">
      <c r="A614">
        <f>'02 · Variables'!$B$35</f>
      </c>
      <c r="B614">
        <f>IF('02 · Variables'!$C$35&lt;&gt;"",1,0)</f>
      </c>
      <c r="C614">
        <f>SUM('_motor'!$A$39:$CB$39)</f>
      </c>
      <c r="D614">
        <f>SUM('_motor'!AC$11:AC$90)</f>
      </c>
      <c r="E614">
        <f>SUM('_motor'!$A$285:$CB$285)</f>
      </c>
      <c r="F614">
        <f>SUM('_motor'!AC$257:AC$336)</f>
      </c>
      <c r="G614">
        <f>SUM('_motor'!$A$121:$CB$121)</f>
      </c>
      <c r="H614">
        <f>SUM('_motor'!AC$93:AC$172)</f>
      </c>
      <c r="I614">
        <f>SUM('_motor'!$A$531:$CB$531)</f>
      </c>
      <c r="J614">
        <f>SUM('_motor'!AC$503:AC$582)</f>
      </c>
      <c r="K614">
        <f>SUM('_motor'!$A$203:$CB$203)</f>
      </c>
      <c r="L614">
        <f>SUM('_motor'!$A$367:$CB$367)</f>
      </c>
      <c r="M614">
        <f>IF($B614=0,"",SUMPRODUCT('_motor'!$B$586:$B$665*('_motor'!$C$586:$C$665&gt;$C614))+(SUMPRODUCT('_motor'!$B$586:$B$665*('_motor'!$C$586:$C$665=$C614))+1)/2)</f>
        <v/>
      </c>
      <c r="N614">
        <f>IF($B614=0,"",SUMPRODUCT('_motor'!$B$586:$B$665*('_motor'!$K$586:$K$665&gt;$K614))+(SUMPRODUCT('_motor'!$B$586:$B$665*('_motor'!$K$586:$K$665=$K614))+1)/2)</f>
        <v/>
      </c>
      <c r="O614">
        <f>IF($B614=0,"",SUMPRODUCT('_motor'!$B$586:$B$665*('_motor'!$E$586:$E$665&gt;$E614))+(SUMPRODUCT('_motor'!$B$586:$B$665*('_motor'!$E$586:$E$665=$E614))+1)/2)</f>
        <v/>
      </c>
      <c r="P614">
        <f>IF($B614=0,"",SUMPRODUCT('_motor'!$B$586:$B$665*('_motor'!$L$586:$L$665&gt;$L614))+(SUMPRODUCT('_motor'!$B$586:$B$665*('_motor'!$L$586:$L$665=$L614))+1)/2)</f>
        <v/>
      </c>
    </row>
    <row r="615" spans="1:16" x14ac:dyDescent="0.2">
      <c r="A615">
        <f>'02 · Variables'!$B$36</f>
      </c>
      <c r="B615">
        <f>IF('02 · Variables'!$C$36&lt;&gt;"",1,0)</f>
      </c>
      <c r="C615">
        <f>SUM('_motor'!$A$40:$CB$40)</f>
      </c>
      <c r="D615">
        <f>SUM('_motor'!AD$11:AD$90)</f>
      </c>
      <c r="E615">
        <f>SUM('_motor'!$A$286:$CB$286)</f>
      </c>
      <c r="F615">
        <f>SUM('_motor'!AD$257:AD$336)</f>
      </c>
      <c r="G615">
        <f>SUM('_motor'!$A$122:$CB$122)</f>
      </c>
      <c r="H615">
        <f>SUM('_motor'!AD$93:AD$172)</f>
      </c>
      <c r="I615">
        <f>SUM('_motor'!$A$532:$CB$532)</f>
      </c>
      <c r="J615">
        <f>SUM('_motor'!AD$503:AD$582)</f>
      </c>
      <c r="K615">
        <f>SUM('_motor'!$A$204:$CB$204)</f>
      </c>
      <c r="L615">
        <f>SUM('_motor'!$A$368:$CB$368)</f>
      </c>
      <c r="M615">
        <f>IF($B615=0,"",SUMPRODUCT('_motor'!$B$586:$B$665*('_motor'!$C$586:$C$665&gt;$C615))+(SUMPRODUCT('_motor'!$B$586:$B$665*('_motor'!$C$586:$C$665=$C615))+1)/2)</f>
        <v/>
      </c>
      <c r="N615">
        <f>IF($B615=0,"",SUMPRODUCT('_motor'!$B$586:$B$665*('_motor'!$K$586:$K$665&gt;$K615))+(SUMPRODUCT('_motor'!$B$586:$B$665*('_motor'!$K$586:$K$665=$K615))+1)/2)</f>
        <v/>
      </c>
      <c r="O615">
        <f>IF($B615=0,"",SUMPRODUCT('_motor'!$B$586:$B$665*('_motor'!$E$586:$E$665&gt;$E615))+(SUMPRODUCT('_motor'!$B$586:$B$665*('_motor'!$E$586:$E$665=$E615))+1)/2)</f>
        <v/>
      </c>
      <c r="P615">
        <f>IF($B615=0,"",SUMPRODUCT('_motor'!$B$586:$B$665*('_motor'!$L$586:$L$665&gt;$L615))+(SUMPRODUCT('_motor'!$B$586:$B$665*('_motor'!$L$586:$L$665=$L615))+1)/2)</f>
        <v/>
      </c>
    </row>
    <row r="616" spans="1:16" x14ac:dyDescent="0.2">
      <c r="A616">
        <f>'02 · Variables'!$B$37</f>
      </c>
      <c r="B616">
        <f>IF('02 · Variables'!$C$37&lt;&gt;"",1,0)</f>
      </c>
      <c r="C616">
        <f>SUM('_motor'!$A$41:$CB$41)</f>
      </c>
      <c r="D616">
        <f>SUM('_motor'!AE$11:AE$90)</f>
      </c>
      <c r="E616">
        <f>SUM('_motor'!$A$287:$CB$287)</f>
      </c>
      <c r="F616">
        <f>SUM('_motor'!AE$257:AE$336)</f>
      </c>
      <c r="G616">
        <f>SUM('_motor'!$A$123:$CB$123)</f>
      </c>
      <c r="H616">
        <f>SUM('_motor'!AE$93:AE$172)</f>
      </c>
      <c r="I616">
        <f>SUM('_motor'!$A$533:$CB$533)</f>
      </c>
      <c r="J616">
        <f>SUM('_motor'!AE$503:AE$582)</f>
      </c>
      <c r="K616">
        <f>SUM('_motor'!$A$205:$CB$205)</f>
      </c>
      <c r="L616">
        <f>SUM('_motor'!$A$369:$CB$369)</f>
      </c>
      <c r="M616">
        <f>IF($B616=0,"",SUMPRODUCT('_motor'!$B$586:$B$665*('_motor'!$C$586:$C$665&gt;$C616))+(SUMPRODUCT('_motor'!$B$586:$B$665*('_motor'!$C$586:$C$665=$C616))+1)/2)</f>
        <v/>
      </c>
      <c r="N616">
        <f>IF($B616=0,"",SUMPRODUCT('_motor'!$B$586:$B$665*('_motor'!$K$586:$K$665&gt;$K616))+(SUMPRODUCT('_motor'!$B$586:$B$665*('_motor'!$K$586:$K$665=$K616))+1)/2)</f>
        <v/>
      </c>
      <c r="O616">
        <f>IF($B616=0,"",SUMPRODUCT('_motor'!$B$586:$B$665*('_motor'!$E$586:$E$665&gt;$E616))+(SUMPRODUCT('_motor'!$B$586:$B$665*('_motor'!$E$586:$E$665=$E616))+1)/2)</f>
        <v/>
      </c>
      <c r="P616">
        <f>IF($B616=0,"",SUMPRODUCT('_motor'!$B$586:$B$665*('_motor'!$L$586:$L$665&gt;$L616))+(SUMPRODUCT('_motor'!$B$586:$B$665*('_motor'!$L$586:$L$665=$L616))+1)/2)</f>
        <v/>
      </c>
    </row>
    <row r="617" spans="1:16" x14ac:dyDescent="0.2">
      <c r="A617">
        <f>'02 · Variables'!$B$38</f>
      </c>
      <c r="B617">
        <f>IF('02 · Variables'!$C$38&lt;&gt;"",1,0)</f>
      </c>
      <c r="C617">
        <f>SUM('_motor'!$A$42:$CB$42)</f>
      </c>
      <c r="D617">
        <f>SUM('_motor'!AF$11:AF$90)</f>
      </c>
      <c r="E617">
        <f>SUM('_motor'!$A$288:$CB$288)</f>
      </c>
      <c r="F617">
        <f>SUM('_motor'!AF$257:AF$336)</f>
      </c>
      <c r="G617">
        <f>SUM('_motor'!$A$124:$CB$124)</f>
      </c>
      <c r="H617">
        <f>SUM('_motor'!AF$93:AF$172)</f>
      </c>
      <c r="I617">
        <f>SUM('_motor'!$A$534:$CB$534)</f>
      </c>
      <c r="J617">
        <f>SUM('_motor'!AF$503:AF$582)</f>
      </c>
      <c r="K617">
        <f>SUM('_motor'!$A$206:$CB$206)</f>
      </c>
      <c r="L617">
        <f>SUM('_motor'!$A$370:$CB$370)</f>
      </c>
      <c r="M617">
        <f>IF($B617=0,"",SUMPRODUCT('_motor'!$B$586:$B$665*('_motor'!$C$586:$C$665&gt;$C617))+(SUMPRODUCT('_motor'!$B$586:$B$665*('_motor'!$C$586:$C$665=$C617))+1)/2)</f>
        <v/>
      </c>
      <c r="N617">
        <f>IF($B617=0,"",SUMPRODUCT('_motor'!$B$586:$B$665*('_motor'!$K$586:$K$665&gt;$K617))+(SUMPRODUCT('_motor'!$B$586:$B$665*('_motor'!$K$586:$K$665=$K617))+1)/2)</f>
        <v/>
      </c>
      <c r="O617">
        <f>IF($B617=0,"",SUMPRODUCT('_motor'!$B$586:$B$665*('_motor'!$E$586:$E$665&gt;$E617))+(SUMPRODUCT('_motor'!$B$586:$B$665*('_motor'!$E$586:$E$665=$E617))+1)/2)</f>
        <v/>
      </c>
      <c r="P617">
        <f>IF($B617=0,"",SUMPRODUCT('_motor'!$B$586:$B$665*('_motor'!$L$586:$L$665&gt;$L617))+(SUMPRODUCT('_motor'!$B$586:$B$665*('_motor'!$L$586:$L$665=$L617))+1)/2)</f>
        <v/>
      </c>
    </row>
    <row r="618" spans="1:16" x14ac:dyDescent="0.2">
      <c r="A618">
        <f>'02 · Variables'!$B$39</f>
      </c>
      <c r="B618">
        <f>IF('02 · Variables'!$C$39&lt;&gt;"",1,0)</f>
      </c>
      <c r="C618">
        <f>SUM('_motor'!$A$43:$CB$43)</f>
      </c>
      <c r="D618">
        <f>SUM('_motor'!AG$11:AG$90)</f>
      </c>
      <c r="E618">
        <f>SUM('_motor'!$A$289:$CB$289)</f>
      </c>
      <c r="F618">
        <f>SUM('_motor'!AG$257:AG$336)</f>
      </c>
      <c r="G618">
        <f>SUM('_motor'!$A$125:$CB$125)</f>
      </c>
      <c r="H618">
        <f>SUM('_motor'!AG$93:AG$172)</f>
      </c>
      <c r="I618">
        <f>SUM('_motor'!$A$535:$CB$535)</f>
      </c>
      <c r="J618">
        <f>SUM('_motor'!AG$503:AG$582)</f>
      </c>
      <c r="K618">
        <f>SUM('_motor'!$A$207:$CB$207)</f>
      </c>
      <c r="L618">
        <f>SUM('_motor'!$A$371:$CB$371)</f>
      </c>
      <c r="M618">
        <f>IF($B618=0,"",SUMPRODUCT('_motor'!$B$586:$B$665*('_motor'!$C$586:$C$665&gt;$C618))+(SUMPRODUCT('_motor'!$B$586:$B$665*('_motor'!$C$586:$C$665=$C618))+1)/2)</f>
        <v/>
      </c>
      <c r="N618">
        <f>IF($B618=0,"",SUMPRODUCT('_motor'!$B$586:$B$665*('_motor'!$K$586:$K$665&gt;$K618))+(SUMPRODUCT('_motor'!$B$586:$B$665*('_motor'!$K$586:$K$665=$K618))+1)/2)</f>
        <v/>
      </c>
      <c r="O618">
        <f>IF($B618=0,"",SUMPRODUCT('_motor'!$B$586:$B$665*('_motor'!$E$586:$E$665&gt;$E618))+(SUMPRODUCT('_motor'!$B$586:$B$665*('_motor'!$E$586:$E$665=$E618))+1)/2)</f>
        <v/>
      </c>
      <c r="P618">
        <f>IF($B618=0,"",SUMPRODUCT('_motor'!$B$586:$B$665*('_motor'!$L$586:$L$665&gt;$L618))+(SUMPRODUCT('_motor'!$B$586:$B$665*('_motor'!$L$586:$L$665=$L618))+1)/2)</f>
        <v/>
      </c>
    </row>
    <row r="619" spans="1:16" x14ac:dyDescent="0.2">
      <c r="A619">
        <f>'02 · Variables'!$B$40</f>
      </c>
      <c r="B619">
        <f>IF('02 · Variables'!$C$40&lt;&gt;"",1,0)</f>
      </c>
      <c r="C619">
        <f>SUM('_motor'!$A$44:$CB$44)</f>
      </c>
      <c r="D619">
        <f>SUM('_motor'!AH$11:AH$90)</f>
      </c>
      <c r="E619">
        <f>SUM('_motor'!$A$290:$CB$290)</f>
      </c>
      <c r="F619">
        <f>SUM('_motor'!AH$257:AH$336)</f>
      </c>
      <c r="G619">
        <f>SUM('_motor'!$A$126:$CB$126)</f>
      </c>
      <c r="H619">
        <f>SUM('_motor'!AH$93:AH$172)</f>
      </c>
      <c r="I619">
        <f>SUM('_motor'!$A$536:$CB$536)</f>
      </c>
      <c r="J619">
        <f>SUM('_motor'!AH$503:AH$582)</f>
      </c>
      <c r="K619">
        <f>SUM('_motor'!$A$208:$CB$208)</f>
      </c>
      <c r="L619">
        <f>SUM('_motor'!$A$372:$CB$372)</f>
      </c>
      <c r="M619">
        <f>IF($B619=0,"",SUMPRODUCT('_motor'!$B$586:$B$665*('_motor'!$C$586:$C$665&gt;$C619))+(SUMPRODUCT('_motor'!$B$586:$B$665*('_motor'!$C$586:$C$665=$C619))+1)/2)</f>
        <v/>
      </c>
      <c r="N619">
        <f>IF($B619=0,"",SUMPRODUCT('_motor'!$B$586:$B$665*('_motor'!$K$586:$K$665&gt;$K619))+(SUMPRODUCT('_motor'!$B$586:$B$665*('_motor'!$K$586:$K$665=$K619))+1)/2)</f>
        <v/>
      </c>
      <c r="O619">
        <f>IF($B619=0,"",SUMPRODUCT('_motor'!$B$586:$B$665*('_motor'!$E$586:$E$665&gt;$E619))+(SUMPRODUCT('_motor'!$B$586:$B$665*('_motor'!$E$586:$E$665=$E619))+1)/2)</f>
        <v/>
      </c>
      <c r="P619">
        <f>IF($B619=0,"",SUMPRODUCT('_motor'!$B$586:$B$665*('_motor'!$L$586:$L$665&gt;$L619))+(SUMPRODUCT('_motor'!$B$586:$B$665*('_motor'!$L$586:$L$665=$L619))+1)/2)</f>
        <v/>
      </c>
    </row>
    <row r="620" spans="1:16" x14ac:dyDescent="0.2">
      <c r="A620">
        <f>'02 · Variables'!$B$41</f>
      </c>
      <c r="B620">
        <f>IF('02 · Variables'!$C$41&lt;&gt;"",1,0)</f>
      </c>
      <c r="C620">
        <f>SUM('_motor'!$A$45:$CB$45)</f>
      </c>
      <c r="D620">
        <f>SUM('_motor'!AI$11:AI$90)</f>
      </c>
      <c r="E620">
        <f>SUM('_motor'!$A$291:$CB$291)</f>
      </c>
      <c r="F620">
        <f>SUM('_motor'!AI$257:AI$336)</f>
      </c>
      <c r="G620">
        <f>SUM('_motor'!$A$127:$CB$127)</f>
      </c>
      <c r="H620">
        <f>SUM('_motor'!AI$93:AI$172)</f>
      </c>
      <c r="I620">
        <f>SUM('_motor'!$A$537:$CB$537)</f>
      </c>
      <c r="J620">
        <f>SUM('_motor'!AI$503:AI$582)</f>
      </c>
      <c r="K620">
        <f>SUM('_motor'!$A$209:$CB$209)</f>
      </c>
      <c r="L620">
        <f>SUM('_motor'!$A$373:$CB$373)</f>
      </c>
      <c r="M620">
        <f>IF($B620=0,"",SUMPRODUCT('_motor'!$B$586:$B$665*('_motor'!$C$586:$C$665&gt;$C620))+(SUMPRODUCT('_motor'!$B$586:$B$665*('_motor'!$C$586:$C$665=$C620))+1)/2)</f>
        <v/>
      </c>
      <c r="N620">
        <f>IF($B620=0,"",SUMPRODUCT('_motor'!$B$586:$B$665*('_motor'!$K$586:$K$665&gt;$K620))+(SUMPRODUCT('_motor'!$B$586:$B$665*('_motor'!$K$586:$K$665=$K620))+1)/2)</f>
        <v/>
      </c>
      <c r="O620">
        <f>IF($B620=0,"",SUMPRODUCT('_motor'!$B$586:$B$665*('_motor'!$E$586:$E$665&gt;$E620))+(SUMPRODUCT('_motor'!$B$586:$B$665*('_motor'!$E$586:$E$665=$E620))+1)/2)</f>
        <v/>
      </c>
      <c r="P620">
        <f>IF($B620=0,"",SUMPRODUCT('_motor'!$B$586:$B$665*('_motor'!$L$586:$L$665&gt;$L620))+(SUMPRODUCT('_motor'!$B$586:$B$665*('_motor'!$L$586:$L$665=$L620))+1)/2)</f>
        <v/>
      </c>
    </row>
    <row r="621" spans="1:16" x14ac:dyDescent="0.2">
      <c r="A621">
        <f>'02 · Variables'!$B$42</f>
      </c>
      <c r="B621">
        <f>IF('02 · Variables'!$C$42&lt;&gt;"",1,0)</f>
      </c>
      <c r="C621">
        <f>SUM('_motor'!$A$46:$CB$46)</f>
      </c>
      <c r="D621">
        <f>SUM('_motor'!AJ$11:AJ$90)</f>
      </c>
      <c r="E621">
        <f>SUM('_motor'!$A$292:$CB$292)</f>
      </c>
      <c r="F621">
        <f>SUM('_motor'!AJ$257:AJ$336)</f>
      </c>
      <c r="G621">
        <f>SUM('_motor'!$A$128:$CB$128)</f>
      </c>
      <c r="H621">
        <f>SUM('_motor'!AJ$93:AJ$172)</f>
      </c>
      <c r="I621">
        <f>SUM('_motor'!$A$538:$CB$538)</f>
      </c>
      <c r="J621">
        <f>SUM('_motor'!AJ$503:AJ$582)</f>
      </c>
      <c r="K621">
        <f>SUM('_motor'!$A$210:$CB$210)</f>
      </c>
      <c r="L621">
        <f>SUM('_motor'!$A$374:$CB$374)</f>
      </c>
      <c r="M621">
        <f>IF($B621=0,"",SUMPRODUCT('_motor'!$B$586:$B$665*('_motor'!$C$586:$C$665&gt;$C621))+(SUMPRODUCT('_motor'!$B$586:$B$665*('_motor'!$C$586:$C$665=$C621))+1)/2)</f>
        <v/>
      </c>
      <c r="N621">
        <f>IF($B621=0,"",SUMPRODUCT('_motor'!$B$586:$B$665*('_motor'!$K$586:$K$665&gt;$K621))+(SUMPRODUCT('_motor'!$B$586:$B$665*('_motor'!$K$586:$K$665=$K621))+1)/2)</f>
        <v/>
      </c>
      <c r="O621">
        <f>IF($B621=0,"",SUMPRODUCT('_motor'!$B$586:$B$665*('_motor'!$E$586:$E$665&gt;$E621))+(SUMPRODUCT('_motor'!$B$586:$B$665*('_motor'!$E$586:$E$665=$E621))+1)/2)</f>
        <v/>
      </c>
      <c r="P621">
        <f>IF($B621=0,"",SUMPRODUCT('_motor'!$B$586:$B$665*('_motor'!$L$586:$L$665&gt;$L621))+(SUMPRODUCT('_motor'!$B$586:$B$665*('_motor'!$L$586:$L$665=$L621))+1)/2)</f>
        <v/>
      </c>
    </row>
    <row r="622" spans="1:16" x14ac:dyDescent="0.2">
      <c r="A622">
        <f>'02 · Variables'!$B$43</f>
      </c>
      <c r="B622">
        <f>IF('02 · Variables'!$C$43&lt;&gt;"",1,0)</f>
      </c>
      <c r="C622">
        <f>SUM('_motor'!$A$47:$CB$47)</f>
      </c>
      <c r="D622">
        <f>SUM('_motor'!AK$11:AK$90)</f>
      </c>
      <c r="E622">
        <f>SUM('_motor'!$A$293:$CB$293)</f>
      </c>
      <c r="F622">
        <f>SUM('_motor'!AK$257:AK$336)</f>
      </c>
      <c r="G622">
        <f>SUM('_motor'!$A$129:$CB$129)</f>
      </c>
      <c r="H622">
        <f>SUM('_motor'!AK$93:AK$172)</f>
      </c>
      <c r="I622">
        <f>SUM('_motor'!$A$539:$CB$539)</f>
      </c>
      <c r="J622">
        <f>SUM('_motor'!AK$503:AK$582)</f>
      </c>
      <c r="K622">
        <f>SUM('_motor'!$A$211:$CB$211)</f>
      </c>
      <c r="L622">
        <f>SUM('_motor'!$A$375:$CB$375)</f>
      </c>
      <c r="M622">
        <f>IF($B622=0,"",SUMPRODUCT('_motor'!$B$586:$B$665*('_motor'!$C$586:$C$665&gt;$C622))+(SUMPRODUCT('_motor'!$B$586:$B$665*('_motor'!$C$586:$C$665=$C622))+1)/2)</f>
        <v/>
      </c>
      <c r="N622">
        <f>IF($B622=0,"",SUMPRODUCT('_motor'!$B$586:$B$665*('_motor'!$K$586:$K$665&gt;$K622))+(SUMPRODUCT('_motor'!$B$586:$B$665*('_motor'!$K$586:$K$665=$K622))+1)/2)</f>
        <v/>
      </c>
      <c r="O622">
        <f>IF($B622=0,"",SUMPRODUCT('_motor'!$B$586:$B$665*('_motor'!$E$586:$E$665&gt;$E622))+(SUMPRODUCT('_motor'!$B$586:$B$665*('_motor'!$E$586:$E$665=$E622))+1)/2)</f>
        <v/>
      </c>
      <c r="P622">
        <f>IF($B622=0,"",SUMPRODUCT('_motor'!$B$586:$B$665*('_motor'!$L$586:$L$665&gt;$L622))+(SUMPRODUCT('_motor'!$B$586:$B$665*('_motor'!$L$586:$L$665=$L622))+1)/2)</f>
        <v/>
      </c>
    </row>
    <row r="623" spans="1:16" x14ac:dyDescent="0.2">
      <c r="A623">
        <f>'02 · Variables'!$B$44</f>
      </c>
      <c r="B623">
        <f>IF('02 · Variables'!$C$44&lt;&gt;"",1,0)</f>
      </c>
      <c r="C623">
        <f>SUM('_motor'!$A$48:$CB$48)</f>
      </c>
      <c r="D623">
        <f>SUM('_motor'!AL$11:AL$90)</f>
      </c>
      <c r="E623">
        <f>SUM('_motor'!$A$294:$CB$294)</f>
      </c>
      <c r="F623">
        <f>SUM('_motor'!AL$257:AL$336)</f>
      </c>
      <c r="G623">
        <f>SUM('_motor'!$A$130:$CB$130)</f>
      </c>
      <c r="H623">
        <f>SUM('_motor'!AL$93:AL$172)</f>
      </c>
      <c r="I623">
        <f>SUM('_motor'!$A$540:$CB$540)</f>
      </c>
      <c r="J623">
        <f>SUM('_motor'!AL$503:AL$582)</f>
      </c>
      <c r="K623">
        <f>SUM('_motor'!$A$212:$CB$212)</f>
      </c>
      <c r="L623">
        <f>SUM('_motor'!$A$376:$CB$376)</f>
      </c>
      <c r="M623">
        <f>IF($B623=0,"",SUMPRODUCT('_motor'!$B$586:$B$665*('_motor'!$C$586:$C$665&gt;$C623))+(SUMPRODUCT('_motor'!$B$586:$B$665*('_motor'!$C$586:$C$665=$C623))+1)/2)</f>
        <v/>
      </c>
      <c r="N623">
        <f>IF($B623=0,"",SUMPRODUCT('_motor'!$B$586:$B$665*('_motor'!$K$586:$K$665&gt;$K623))+(SUMPRODUCT('_motor'!$B$586:$B$665*('_motor'!$K$586:$K$665=$K623))+1)/2)</f>
        <v/>
      </c>
      <c r="O623">
        <f>IF($B623=0,"",SUMPRODUCT('_motor'!$B$586:$B$665*('_motor'!$E$586:$E$665&gt;$E623))+(SUMPRODUCT('_motor'!$B$586:$B$665*('_motor'!$E$586:$E$665=$E623))+1)/2)</f>
        <v/>
      </c>
      <c r="P623">
        <f>IF($B623=0,"",SUMPRODUCT('_motor'!$B$586:$B$665*('_motor'!$L$586:$L$665&gt;$L623))+(SUMPRODUCT('_motor'!$B$586:$B$665*('_motor'!$L$586:$L$665=$L623))+1)/2)</f>
        <v/>
      </c>
    </row>
    <row r="624" spans="1:16" x14ac:dyDescent="0.2">
      <c r="A624">
        <f>'02 · Variables'!$B$45</f>
      </c>
      <c r="B624">
        <f>IF('02 · Variables'!$C$45&lt;&gt;"",1,0)</f>
      </c>
      <c r="C624">
        <f>SUM('_motor'!$A$49:$CB$49)</f>
      </c>
      <c r="D624">
        <f>SUM('_motor'!AM$11:AM$90)</f>
      </c>
      <c r="E624">
        <f>SUM('_motor'!$A$295:$CB$295)</f>
      </c>
      <c r="F624">
        <f>SUM('_motor'!AM$257:AM$336)</f>
      </c>
      <c r="G624">
        <f>SUM('_motor'!$A$131:$CB$131)</f>
      </c>
      <c r="H624">
        <f>SUM('_motor'!AM$93:AM$172)</f>
      </c>
      <c r="I624">
        <f>SUM('_motor'!$A$541:$CB$541)</f>
      </c>
      <c r="J624">
        <f>SUM('_motor'!AM$503:AM$582)</f>
      </c>
      <c r="K624">
        <f>SUM('_motor'!$A$213:$CB$213)</f>
      </c>
      <c r="L624">
        <f>SUM('_motor'!$A$377:$CB$377)</f>
      </c>
      <c r="M624">
        <f>IF($B624=0,"",SUMPRODUCT('_motor'!$B$586:$B$665*('_motor'!$C$586:$C$665&gt;$C624))+(SUMPRODUCT('_motor'!$B$586:$B$665*('_motor'!$C$586:$C$665=$C624))+1)/2)</f>
        <v/>
      </c>
      <c r="N624">
        <f>IF($B624=0,"",SUMPRODUCT('_motor'!$B$586:$B$665*('_motor'!$K$586:$K$665&gt;$K624))+(SUMPRODUCT('_motor'!$B$586:$B$665*('_motor'!$K$586:$K$665=$K624))+1)/2)</f>
        <v/>
      </c>
      <c r="O624">
        <f>IF($B624=0,"",SUMPRODUCT('_motor'!$B$586:$B$665*('_motor'!$E$586:$E$665&gt;$E624))+(SUMPRODUCT('_motor'!$B$586:$B$665*('_motor'!$E$586:$E$665=$E624))+1)/2)</f>
        <v/>
      </c>
      <c r="P624">
        <f>IF($B624=0,"",SUMPRODUCT('_motor'!$B$586:$B$665*('_motor'!$L$586:$L$665&gt;$L624))+(SUMPRODUCT('_motor'!$B$586:$B$665*('_motor'!$L$586:$L$665=$L624))+1)/2)</f>
        <v/>
      </c>
    </row>
    <row r="625" spans="1:16" x14ac:dyDescent="0.2">
      <c r="A625">
        <f>'02 · Variables'!$B$46</f>
      </c>
      <c r="B625">
        <f>IF('02 · Variables'!$C$46&lt;&gt;"",1,0)</f>
      </c>
      <c r="C625">
        <f>SUM('_motor'!$A$50:$CB$50)</f>
      </c>
      <c r="D625">
        <f>SUM('_motor'!AN$11:AN$90)</f>
      </c>
      <c r="E625">
        <f>SUM('_motor'!$A$296:$CB$296)</f>
      </c>
      <c r="F625">
        <f>SUM('_motor'!AN$257:AN$336)</f>
      </c>
      <c r="G625">
        <f>SUM('_motor'!$A$132:$CB$132)</f>
      </c>
      <c r="H625">
        <f>SUM('_motor'!AN$93:AN$172)</f>
      </c>
      <c r="I625">
        <f>SUM('_motor'!$A$542:$CB$542)</f>
      </c>
      <c r="J625">
        <f>SUM('_motor'!AN$503:AN$582)</f>
      </c>
      <c r="K625">
        <f>SUM('_motor'!$A$214:$CB$214)</f>
      </c>
      <c r="L625">
        <f>SUM('_motor'!$A$378:$CB$378)</f>
      </c>
      <c r="M625">
        <f>IF($B625=0,"",SUMPRODUCT('_motor'!$B$586:$B$665*('_motor'!$C$586:$C$665&gt;$C625))+(SUMPRODUCT('_motor'!$B$586:$B$665*('_motor'!$C$586:$C$665=$C625))+1)/2)</f>
        <v/>
      </c>
      <c r="N625">
        <f>IF($B625=0,"",SUMPRODUCT('_motor'!$B$586:$B$665*('_motor'!$K$586:$K$665&gt;$K625))+(SUMPRODUCT('_motor'!$B$586:$B$665*('_motor'!$K$586:$K$665=$K625))+1)/2)</f>
        <v/>
      </c>
      <c r="O625">
        <f>IF($B625=0,"",SUMPRODUCT('_motor'!$B$586:$B$665*('_motor'!$E$586:$E$665&gt;$E625))+(SUMPRODUCT('_motor'!$B$586:$B$665*('_motor'!$E$586:$E$665=$E625))+1)/2)</f>
        <v/>
      </c>
      <c r="P625">
        <f>IF($B625=0,"",SUMPRODUCT('_motor'!$B$586:$B$665*('_motor'!$L$586:$L$665&gt;$L625))+(SUMPRODUCT('_motor'!$B$586:$B$665*('_motor'!$L$586:$L$665=$L625))+1)/2)</f>
        <v/>
      </c>
    </row>
    <row r="626" spans="1:16" x14ac:dyDescent="0.2">
      <c r="A626">
        <f>'02 · Variables'!$B$47</f>
      </c>
      <c r="B626">
        <f>IF('02 · Variables'!$C$47&lt;&gt;"",1,0)</f>
      </c>
      <c r="C626">
        <f>SUM('_motor'!$A$51:$CB$51)</f>
      </c>
      <c r="D626">
        <f>SUM('_motor'!AO$11:AO$90)</f>
      </c>
      <c r="E626">
        <f>SUM('_motor'!$A$297:$CB$297)</f>
      </c>
      <c r="F626">
        <f>SUM('_motor'!AO$257:AO$336)</f>
      </c>
      <c r="G626">
        <f>SUM('_motor'!$A$133:$CB$133)</f>
      </c>
      <c r="H626">
        <f>SUM('_motor'!AO$93:AO$172)</f>
      </c>
      <c r="I626">
        <f>SUM('_motor'!$A$543:$CB$543)</f>
      </c>
      <c r="J626">
        <f>SUM('_motor'!AO$503:AO$582)</f>
      </c>
      <c r="K626">
        <f>SUM('_motor'!$A$215:$CB$215)</f>
      </c>
      <c r="L626">
        <f>SUM('_motor'!$A$379:$CB$379)</f>
      </c>
      <c r="M626">
        <f>IF($B626=0,"",SUMPRODUCT('_motor'!$B$586:$B$665*('_motor'!$C$586:$C$665&gt;$C626))+(SUMPRODUCT('_motor'!$B$586:$B$665*('_motor'!$C$586:$C$665=$C626))+1)/2)</f>
        <v/>
      </c>
      <c r="N626">
        <f>IF($B626=0,"",SUMPRODUCT('_motor'!$B$586:$B$665*('_motor'!$K$586:$K$665&gt;$K626))+(SUMPRODUCT('_motor'!$B$586:$B$665*('_motor'!$K$586:$K$665=$K626))+1)/2)</f>
        <v/>
      </c>
      <c r="O626">
        <f>IF($B626=0,"",SUMPRODUCT('_motor'!$B$586:$B$665*('_motor'!$E$586:$E$665&gt;$E626))+(SUMPRODUCT('_motor'!$B$586:$B$665*('_motor'!$E$586:$E$665=$E626))+1)/2)</f>
        <v/>
      </c>
      <c r="P626">
        <f>IF($B626=0,"",SUMPRODUCT('_motor'!$B$586:$B$665*('_motor'!$L$586:$L$665&gt;$L626))+(SUMPRODUCT('_motor'!$B$586:$B$665*('_motor'!$L$586:$L$665=$L626))+1)/2)</f>
        <v/>
      </c>
    </row>
    <row r="627" spans="1:16" x14ac:dyDescent="0.2">
      <c r="A627">
        <f>'02 · Variables'!$B$48</f>
      </c>
      <c r="B627">
        <f>IF('02 · Variables'!$C$48&lt;&gt;"",1,0)</f>
      </c>
      <c r="C627">
        <f>SUM('_motor'!$A$52:$CB$52)</f>
      </c>
      <c r="D627">
        <f>SUM('_motor'!AP$11:AP$90)</f>
      </c>
      <c r="E627">
        <f>SUM('_motor'!$A$298:$CB$298)</f>
      </c>
      <c r="F627">
        <f>SUM('_motor'!AP$257:AP$336)</f>
      </c>
      <c r="G627">
        <f>SUM('_motor'!$A$134:$CB$134)</f>
      </c>
      <c r="H627">
        <f>SUM('_motor'!AP$93:AP$172)</f>
      </c>
      <c r="I627">
        <f>SUM('_motor'!$A$544:$CB$544)</f>
      </c>
      <c r="J627">
        <f>SUM('_motor'!AP$503:AP$582)</f>
      </c>
      <c r="K627">
        <f>SUM('_motor'!$A$216:$CB$216)</f>
      </c>
      <c r="L627">
        <f>SUM('_motor'!$A$380:$CB$380)</f>
      </c>
      <c r="M627">
        <f>IF($B627=0,"",SUMPRODUCT('_motor'!$B$586:$B$665*('_motor'!$C$586:$C$665&gt;$C627))+(SUMPRODUCT('_motor'!$B$586:$B$665*('_motor'!$C$586:$C$665=$C627))+1)/2)</f>
        <v/>
      </c>
      <c r="N627">
        <f>IF($B627=0,"",SUMPRODUCT('_motor'!$B$586:$B$665*('_motor'!$K$586:$K$665&gt;$K627))+(SUMPRODUCT('_motor'!$B$586:$B$665*('_motor'!$K$586:$K$665=$K627))+1)/2)</f>
        <v/>
      </c>
      <c r="O627">
        <f>IF($B627=0,"",SUMPRODUCT('_motor'!$B$586:$B$665*('_motor'!$E$586:$E$665&gt;$E627))+(SUMPRODUCT('_motor'!$B$586:$B$665*('_motor'!$E$586:$E$665=$E627))+1)/2)</f>
        <v/>
      </c>
      <c r="P627">
        <f>IF($B627=0,"",SUMPRODUCT('_motor'!$B$586:$B$665*('_motor'!$L$586:$L$665&gt;$L627))+(SUMPRODUCT('_motor'!$B$586:$B$665*('_motor'!$L$586:$L$665=$L627))+1)/2)</f>
        <v/>
      </c>
    </row>
    <row r="628" spans="1:16" x14ac:dyDescent="0.2">
      <c r="A628">
        <f>'02 · Variables'!$B$49</f>
      </c>
      <c r="B628">
        <f>IF('02 · Variables'!$C$49&lt;&gt;"",1,0)</f>
      </c>
      <c r="C628">
        <f>SUM('_motor'!$A$53:$CB$53)</f>
      </c>
      <c r="D628">
        <f>SUM('_motor'!AQ$11:AQ$90)</f>
      </c>
      <c r="E628">
        <f>SUM('_motor'!$A$299:$CB$299)</f>
      </c>
      <c r="F628">
        <f>SUM('_motor'!AQ$257:AQ$336)</f>
      </c>
      <c r="G628">
        <f>SUM('_motor'!$A$135:$CB$135)</f>
      </c>
      <c r="H628">
        <f>SUM('_motor'!AQ$93:AQ$172)</f>
      </c>
      <c r="I628">
        <f>SUM('_motor'!$A$545:$CB$545)</f>
      </c>
      <c r="J628">
        <f>SUM('_motor'!AQ$503:AQ$582)</f>
      </c>
      <c r="K628">
        <f>SUM('_motor'!$A$217:$CB$217)</f>
      </c>
      <c r="L628">
        <f>SUM('_motor'!$A$381:$CB$381)</f>
      </c>
      <c r="M628">
        <f>IF($B628=0,"",SUMPRODUCT('_motor'!$B$586:$B$665*('_motor'!$C$586:$C$665&gt;$C628))+(SUMPRODUCT('_motor'!$B$586:$B$665*('_motor'!$C$586:$C$665=$C628))+1)/2)</f>
        <v/>
      </c>
      <c r="N628">
        <f>IF($B628=0,"",SUMPRODUCT('_motor'!$B$586:$B$665*('_motor'!$K$586:$K$665&gt;$K628))+(SUMPRODUCT('_motor'!$B$586:$B$665*('_motor'!$K$586:$K$665=$K628))+1)/2)</f>
        <v/>
      </c>
      <c r="O628">
        <f>IF($B628=0,"",SUMPRODUCT('_motor'!$B$586:$B$665*('_motor'!$E$586:$E$665&gt;$E628))+(SUMPRODUCT('_motor'!$B$586:$B$665*('_motor'!$E$586:$E$665=$E628))+1)/2)</f>
        <v/>
      </c>
      <c r="P628">
        <f>IF($B628=0,"",SUMPRODUCT('_motor'!$B$586:$B$665*('_motor'!$L$586:$L$665&gt;$L628))+(SUMPRODUCT('_motor'!$B$586:$B$665*('_motor'!$L$586:$L$665=$L628))+1)/2)</f>
        <v/>
      </c>
    </row>
    <row r="629" spans="1:16" x14ac:dyDescent="0.2">
      <c r="A629">
        <f>'02 · Variables'!$B$50</f>
      </c>
      <c r="B629">
        <f>IF('02 · Variables'!$C$50&lt;&gt;"",1,0)</f>
      </c>
      <c r="C629">
        <f>SUM('_motor'!$A$54:$CB$54)</f>
      </c>
      <c r="D629">
        <f>SUM('_motor'!AR$11:AR$90)</f>
      </c>
      <c r="E629">
        <f>SUM('_motor'!$A$300:$CB$300)</f>
      </c>
      <c r="F629">
        <f>SUM('_motor'!AR$257:AR$336)</f>
      </c>
      <c r="G629">
        <f>SUM('_motor'!$A$136:$CB$136)</f>
      </c>
      <c r="H629">
        <f>SUM('_motor'!AR$93:AR$172)</f>
      </c>
      <c r="I629">
        <f>SUM('_motor'!$A$546:$CB$546)</f>
      </c>
      <c r="J629">
        <f>SUM('_motor'!AR$503:AR$582)</f>
      </c>
      <c r="K629">
        <f>SUM('_motor'!$A$218:$CB$218)</f>
      </c>
      <c r="L629">
        <f>SUM('_motor'!$A$382:$CB$382)</f>
      </c>
      <c r="M629">
        <f>IF($B629=0,"",SUMPRODUCT('_motor'!$B$586:$B$665*('_motor'!$C$586:$C$665&gt;$C629))+(SUMPRODUCT('_motor'!$B$586:$B$665*('_motor'!$C$586:$C$665=$C629))+1)/2)</f>
        <v/>
      </c>
      <c r="N629">
        <f>IF($B629=0,"",SUMPRODUCT('_motor'!$B$586:$B$665*('_motor'!$K$586:$K$665&gt;$K629))+(SUMPRODUCT('_motor'!$B$586:$B$665*('_motor'!$K$586:$K$665=$K629))+1)/2)</f>
        <v/>
      </c>
      <c r="O629">
        <f>IF($B629=0,"",SUMPRODUCT('_motor'!$B$586:$B$665*('_motor'!$E$586:$E$665&gt;$E629))+(SUMPRODUCT('_motor'!$B$586:$B$665*('_motor'!$E$586:$E$665=$E629))+1)/2)</f>
        <v/>
      </c>
      <c r="P629">
        <f>IF($B629=0,"",SUMPRODUCT('_motor'!$B$586:$B$665*('_motor'!$L$586:$L$665&gt;$L629))+(SUMPRODUCT('_motor'!$B$586:$B$665*('_motor'!$L$586:$L$665=$L629))+1)/2)</f>
        <v/>
      </c>
    </row>
    <row r="630" spans="1:16" x14ac:dyDescent="0.2">
      <c r="A630">
        <f>'02 · Variables'!$B$51</f>
      </c>
      <c r="B630">
        <f>IF('02 · Variables'!$C$51&lt;&gt;"",1,0)</f>
      </c>
      <c r="C630">
        <f>SUM('_motor'!$A$55:$CB$55)</f>
      </c>
      <c r="D630">
        <f>SUM('_motor'!AS$11:AS$90)</f>
      </c>
      <c r="E630">
        <f>SUM('_motor'!$A$301:$CB$301)</f>
      </c>
      <c r="F630">
        <f>SUM('_motor'!AS$257:AS$336)</f>
      </c>
      <c r="G630">
        <f>SUM('_motor'!$A$137:$CB$137)</f>
      </c>
      <c r="H630">
        <f>SUM('_motor'!AS$93:AS$172)</f>
      </c>
      <c r="I630">
        <f>SUM('_motor'!$A$547:$CB$547)</f>
      </c>
      <c r="J630">
        <f>SUM('_motor'!AS$503:AS$582)</f>
      </c>
      <c r="K630">
        <f>SUM('_motor'!$A$219:$CB$219)</f>
      </c>
      <c r="L630">
        <f>SUM('_motor'!$A$383:$CB$383)</f>
      </c>
      <c r="M630">
        <f>IF($B630=0,"",SUMPRODUCT('_motor'!$B$586:$B$665*('_motor'!$C$586:$C$665&gt;$C630))+(SUMPRODUCT('_motor'!$B$586:$B$665*('_motor'!$C$586:$C$665=$C630))+1)/2)</f>
        <v/>
      </c>
      <c r="N630">
        <f>IF($B630=0,"",SUMPRODUCT('_motor'!$B$586:$B$665*('_motor'!$K$586:$K$665&gt;$K630))+(SUMPRODUCT('_motor'!$B$586:$B$665*('_motor'!$K$586:$K$665=$K630))+1)/2)</f>
        <v/>
      </c>
      <c r="O630">
        <f>IF($B630=0,"",SUMPRODUCT('_motor'!$B$586:$B$665*('_motor'!$E$586:$E$665&gt;$E630))+(SUMPRODUCT('_motor'!$B$586:$B$665*('_motor'!$E$586:$E$665=$E630))+1)/2)</f>
        <v/>
      </c>
      <c r="P630">
        <f>IF($B630=0,"",SUMPRODUCT('_motor'!$B$586:$B$665*('_motor'!$L$586:$L$665&gt;$L630))+(SUMPRODUCT('_motor'!$B$586:$B$665*('_motor'!$L$586:$L$665=$L630))+1)/2)</f>
        <v/>
      </c>
    </row>
    <row r="631" spans="1:16" x14ac:dyDescent="0.2">
      <c r="A631">
        <f>'02 · Variables'!$B$52</f>
      </c>
      <c r="B631">
        <f>IF('02 · Variables'!$C$52&lt;&gt;"",1,0)</f>
      </c>
      <c r="C631">
        <f>SUM('_motor'!$A$56:$CB$56)</f>
      </c>
      <c r="D631">
        <f>SUM('_motor'!AT$11:AT$90)</f>
      </c>
      <c r="E631">
        <f>SUM('_motor'!$A$302:$CB$302)</f>
      </c>
      <c r="F631">
        <f>SUM('_motor'!AT$257:AT$336)</f>
      </c>
      <c r="G631">
        <f>SUM('_motor'!$A$138:$CB$138)</f>
      </c>
      <c r="H631">
        <f>SUM('_motor'!AT$93:AT$172)</f>
      </c>
      <c r="I631">
        <f>SUM('_motor'!$A$548:$CB$548)</f>
      </c>
      <c r="J631">
        <f>SUM('_motor'!AT$503:AT$582)</f>
      </c>
      <c r="K631">
        <f>SUM('_motor'!$A$220:$CB$220)</f>
      </c>
      <c r="L631">
        <f>SUM('_motor'!$A$384:$CB$384)</f>
      </c>
      <c r="M631">
        <f>IF($B631=0,"",SUMPRODUCT('_motor'!$B$586:$B$665*('_motor'!$C$586:$C$665&gt;$C631))+(SUMPRODUCT('_motor'!$B$586:$B$665*('_motor'!$C$586:$C$665=$C631))+1)/2)</f>
        <v/>
      </c>
      <c r="N631">
        <f>IF($B631=0,"",SUMPRODUCT('_motor'!$B$586:$B$665*('_motor'!$K$586:$K$665&gt;$K631))+(SUMPRODUCT('_motor'!$B$586:$B$665*('_motor'!$K$586:$K$665=$K631))+1)/2)</f>
        <v/>
      </c>
      <c r="O631">
        <f>IF($B631=0,"",SUMPRODUCT('_motor'!$B$586:$B$665*('_motor'!$E$586:$E$665&gt;$E631))+(SUMPRODUCT('_motor'!$B$586:$B$665*('_motor'!$E$586:$E$665=$E631))+1)/2)</f>
        <v/>
      </c>
      <c r="P631">
        <f>IF($B631=0,"",SUMPRODUCT('_motor'!$B$586:$B$665*('_motor'!$L$586:$L$665&gt;$L631))+(SUMPRODUCT('_motor'!$B$586:$B$665*('_motor'!$L$586:$L$665=$L631))+1)/2)</f>
        <v/>
      </c>
    </row>
    <row r="632" spans="1:16" x14ac:dyDescent="0.2">
      <c r="A632">
        <f>'02 · Variables'!$B$53</f>
      </c>
      <c r="B632">
        <f>IF('02 · Variables'!$C$53&lt;&gt;"",1,0)</f>
      </c>
      <c r="C632">
        <f>SUM('_motor'!$A$57:$CB$57)</f>
      </c>
      <c r="D632">
        <f>SUM('_motor'!AU$11:AU$90)</f>
      </c>
      <c r="E632">
        <f>SUM('_motor'!$A$303:$CB$303)</f>
      </c>
      <c r="F632">
        <f>SUM('_motor'!AU$257:AU$336)</f>
      </c>
      <c r="G632">
        <f>SUM('_motor'!$A$139:$CB$139)</f>
      </c>
      <c r="H632">
        <f>SUM('_motor'!AU$93:AU$172)</f>
      </c>
      <c r="I632">
        <f>SUM('_motor'!$A$549:$CB$549)</f>
      </c>
      <c r="J632">
        <f>SUM('_motor'!AU$503:AU$582)</f>
      </c>
      <c r="K632">
        <f>SUM('_motor'!$A$221:$CB$221)</f>
      </c>
      <c r="L632">
        <f>SUM('_motor'!$A$385:$CB$385)</f>
      </c>
      <c r="M632">
        <f>IF($B632=0,"",SUMPRODUCT('_motor'!$B$586:$B$665*('_motor'!$C$586:$C$665&gt;$C632))+(SUMPRODUCT('_motor'!$B$586:$B$665*('_motor'!$C$586:$C$665=$C632))+1)/2)</f>
        <v/>
      </c>
      <c r="N632">
        <f>IF($B632=0,"",SUMPRODUCT('_motor'!$B$586:$B$665*('_motor'!$K$586:$K$665&gt;$K632))+(SUMPRODUCT('_motor'!$B$586:$B$665*('_motor'!$K$586:$K$665=$K632))+1)/2)</f>
        <v/>
      </c>
      <c r="O632">
        <f>IF($B632=0,"",SUMPRODUCT('_motor'!$B$586:$B$665*('_motor'!$E$586:$E$665&gt;$E632))+(SUMPRODUCT('_motor'!$B$586:$B$665*('_motor'!$E$586:$E$665=$E632))+1)/2)</f>
        <v/>
      </c>
      <c r="P632">
        <f>IF($B632=0,"",SUMPRODUCT('_motor'!$B$586:$B$665*('_motor'!$L$586:$L$665&gt;$L632))+(SUMPRODUCT('_motor'!$B$586:$B$665*('_motor'!$L$586:$L$665=$L632))+1)/2)</f>
        <v/>
      </c>
    </row>
    <row r="633" spans="1:16" x14ac:dyDescent="0.2">
      <c r="A633">
        <f>'02 · Variables'!$B$54</f>
      </c>
      <c r="B633">
        <f>IF('02 · Variables'!$C$54&lt;&gt;"",1,0)</f>
      </c>
      <c r="C633">
        <f>SUM('_motor'!$A$58:$CB$58)</f>
      </c>
      <c r="D633">
        <f>SUM('_motor'!AV$11:AV$90)</f>
      </c>
      <c r="E633">
        <f>SUM('_motor'!$A$304:$CB$304)</f>
      </c>
      <c r="F633">
        <f>SUM('_motor'!AV$257:AV$336)</f>
      </c>
      <c r="G633">
        <f>SUM('_motor'!$A$140:$CB$140)</f>
      </c>
      <c r="H633">
        <f>SUM('_motor'!AV$93:AV$172)</f>
      </c>
      <c r="I633">
        <f>SUM('_motor'!$A$550:$CB$550)</f>
      </c>
      <c r="J633">
        <f>SUM('_motor'!AV$503:AV$582)</f>
      </c>
      <c r="K633">
        <f>SUM('_motor'!$A$222:$CB$222)</f>
      </c>
      <c r="L633">
        <f>SUM('_motor'!$A$386:$CB$386)</f>
      </c>
      <c r="M633">
        <f>IF($B633=0,"",SUMPRODUCT('_motor'!$B$586:$B$665*('_motor'!$C$586:$C$665&gt;$C633))+(SUMPRODUCT('_motor'!$B$586:$B$665*('_motor'!$C$586:$C$665=$C633))+1)/2)</f>
        <v/>
      </c>
      <c r="N633">
        <f>IF($B633=0,"",SUMPRODUCT('_motor'!$B$586:$B$665*('_motor'!$K$586:$K$665&gt;$K633))+(SUMPRODUCT('_motor'!$B$586:$B$665*('_motor'!$K$586:$K$665=$K633))+1)/2)</f>
        <v/>
      </c>
      <c r="O633">
        <f>IF($B633=0,"",SUMPRODUCT('_motor'!$B$586:$B$665*('_motor'!$E$586:$E$665&gt;$E633))+(SUMPRODUCT('_motor'!$B$586:$B$665*('_motor'!$E$586:$E$665=$E633))+1)/2)</f>
        <v/>
      </c>
      <c r="P633">
        <f>IF($B633=0,"",SUMPRODUCT('_motor'!$B$586:$B$665*('_motor'!$L$586:$L$665&gt;$L633))+(SUMPRODUCT('_motor'!$B$586:$B$665*('_motor'!$L$586:$L$665=$L633))+1)/2)</f>
        <v/>
      </c>
    </row>
    <row r="634" spans="1:16" x14ac:dyDescent="0.2">
      <c r="A634">
        <f>'02 · Variables'!$B$55</f>
      </c>
      <c r="B634">
        <f>IF('02 · Variables'!$C$55&lt;&gt;"",1,0)</f>
      </c>
      <c r="C634">
        <f>SUM('_motor'!$A$59:$CB$59)</f>
      </c>
      <c r="D634">
        <f>SUM('_motor'!AW$11:AW$90)</f>
      </c>
      <c r="E634">
        <f>SUM('_motor'!$A$305:$CB$305)</f>
      </c>
      <c r="F634">
        <f>SUM('_motor'!AW$257:AW$336)</f>
      </c>
      <c r="G634">
        <f>SUM('_motor'!$A$141:$CB$141)</f>
      </c>
      <c r="H634">
        <f>SUM('_motor'!AW$93:AW$172)</f>
      </c>
      <c r="I634">
        <f>SUM('_motor'!$A$551:$CB$551)</f>
      </c>
      <c r="J634">
        <f>SUM('_motor'!AW$503:AW$582)</f>
      </c>
      <c r="K634">
        <f>SUM('_motor'!$A$223:$CB$223)</f>
      </c>
      <c r="L634">
        <f>SUM('_motor'!$A$387:$CB$387)</f>
      </c>
      <c r="M634">
        <f>IF($B634=0,"",SUMPRODUCT('_motor'!$B$586:$B$665*('_motor'!$C$586:$C$665&gt;$C634))+(SUMPRODUCT('_motor'!$B$586:$B$665*('_motor'!$C$586:$C$665=$C634))+1)/2)</f>
        <v/>
      </c>
      <c r="N634">
        <f>IF($B634=0,"",SUMPRODUCT('_motor'!$B$586:$B$665*('_motor'!$K$586:$K$665&gt;$K634))+(SUMPRODUCT('_motor'!$B$586:$B$665*('_motor'!$K$586:$K$665=$K634))+1)/2)</f>
        <v/>
      </c>
      <c r="O634">
        <f>IF($B634=0,"",SUMPRODUCT('_motor'!$B$586:$B$665*('_motor'!$E$586:$E$665&gt;$E634))+(SUMPRODUCT('_motor'!$B$586:$B$665*('_motor'!$E$586:$E$665=$E634))+1)/2)</f>
        <v/>
      </c>
      <c r="P634">
        <f>IF($B634=0,"",SUMPRODUCT('_motor'!$B$586:$B$665*('_motor'!$L$586:$L$665&gt;$L634))+(SUMPRODUCT('_motor'!$B$586:$B$665*('_motor'!$L$586:$L$665=$L634))+1)/2)</f>
        <v/>
      </c>
    </row>
    <row r="635" spans="1:16" x14ac:dyDescent="0.2">
      <c r="A635">
        <f>'02 · Variables'!$B$56</f>
      </c>
      <c r="B635">
        <f>IF('02 · Variables'!$C$56&lt;&gt;"",1,0)</f>
      </c>
      <c r="C635">
        <f>SUM('_motor'!$A$60:$CB$60)</f>
      </c>
      <c r="D635">
        <f>SUM('_motor'!AX$11:AX$90)</f>
      </c>
      <c r="E635">
        <f>SUM('_motor'!$A$306:$CB$306)</f>
      </c>
      <c r="F635">
        <f>SUM('_motor'!AX$257:AX$336)</f>
      </c>
      <c r="G635">
        <f>SUM('_motor'!$A$142:$CB$142)</f>
      </c>
      <c r="H635">
        <f>SUM('_motor'!AX$93:AX$172)</f>
      </c>
      <c r="I635">
        <f>SUM('_motor'!$A$552:$CB$552)</f>
      </c>
      <c r="J635">
        <f>SUM('_motor'!AX$503:AX$582)</f>
      </c>
      <c r="K635">
        <f>SUM('_motor'!$A$224:$CB$224)</f>
      </c>
      <c r="L635">
        <f>SUM('_motor'!$A$388:$CB$388)</f>
      </c>
      <c r="M635">
        <f>IF($B635=0,"",SUMPRODUCT('_motor'!$B$586:$B$665*('_motor'!$C$586:$C$665&gt;$C635))+(SUMPRODUCT('_motor'!$B$586:$B$665*('_motor'!$C$586:$C$665=$C635))+1)/2)</f>
        <v/>
      </c>
      <c r="N635">
        <f>IF($B635=0,"",SUMPRODUCT('_motor'!$B$586:$B$665*('_motor'!$K$586:$K$665&gt;$K635))+(SUMPRODUCT('_motor'!$B$586:$B$665*('_motor'!$K$586:$K$665=$K635))+1)/2)</f>
        <v/>
      </c>
      <c r="O635">
        <f>IF($B635=0,"",SUMPRODUCT('_motor'!$B$586:$B$665*('_motor'!$E$586:$E$665&gt;$E635))+(SUMPRODUCT('_motor'!$B$586:$B$665*('_motor'!$E$586:$E$665=$E635))+1)/2)</f>
        <v/>
      </c>
      <c r="P635">
        <f>IF($B635=0,"",SUMPRODUCT('_motor'!$B$586:$B$665*('_motor'!$L$586:$L$665&gt;$L635))+(SUMPRODUCT('_motor'!$B$586:$B$665*('_motor'!$L$586:$L$665=$L635))+1)/2)</f>
        <v/>
      </c>
    </row>
    <row r="636" spans="1:16" x14ac:dyDescent="0.2">
      <c r="A636">
        <f>'02 · Variables'!$B$57</f>
      </c>
      <c r="B636">
        <f>IF('02 · Variables'!$C$57&lt;&gt;"",1,0)</f>
      </c>
      <c r="C636">
        <f>SUM('_motor'!$A$61:$CB$61)</f>
      </c>
      <c r="D636">
        <f>SUM('_motor'!AY$11:AY$90)</f>
      </c>
      <c r="E636">
        <f>SUM('_motor'!$A$307:$CB$307)</f>
      </c>
      <c r="F636">
        <f>SUM('_motor'!AY$257:AY$336)</f>
      </c>
      <c r="G636">
        <f>SUM('_motor'!$A$143:$CB$143)</f>
      </c>
      <c r="H636">
        <f>SUM('_motor'!AY$93:AY$172)</f>
      </c>
      <c r="I636">
        <f>SUM('_motor'!$A$553:$CB$553)</f>
      </c>
      <c r="J636">
        <f>SUM('_motor'!AY$503:AY$582)</f>
      </c>
      <c r="K636">
        <f>SUM('_motor'!$A$225:$CB$225)</f>
      </c>
      <c r="L636">
        <f>SUM('_motor'!$A$389:$CB$389)</f>
      </c>
      <c r="M636">
        <f>IF($B636=0,"",SUMPRODUCT('_motor'!$B$586:$B$665*('_motor'!$C$586:$C$665&gt;$C636))+(SUMPRODUCT('_motor'!$B$586:$B$665*('_motor'!$C$586:$C$665=$C636))+1)/2)</f>
        <v/>
      </c>
      <c r="N636">
        <f>IF($B636=0,"",SUMPRODUCT('_motor'!$B$586:$B$665*('_motor'!$K$586:$K$665&gt;$K636))+(SUMPRODUCT('_motor'!$B$586:$B$665*('_motor'!$K$586:$K$665=$K636))+1)/2)</f>
        <v/>
      </c>
      <c r="O636">
        <f>IF($B636=0,"",SUMPRODUCT('_motor'!$B$586:$B$665*('_motor'!$E$586:$E$665&gt;$E636))+(SUMPRODUCT('_motor'!$B$586:$B$665*('_motor'!$E$586:$E$665=$E636))+1)/2)</f>
        <v/>
      </c>
      <c r="P636">
        <f>IF($B636=0,"",SUMPRODUCT('_motor'!$B$586:$B$665*('_motor'!$L$586:$L$665&gt;$L636))+(SUMPRODUCT('_motor'!$B$586:$B$665*('_motor'!$L$586:$L$665=$L636))+1)/2)</f>
        <v/>
      </c>
    </row>
    <row r="637" spans="1:16" x14ac:dyDescent="0.2">
      <c r="A637">
        <f>'02 · Variables'!$B$58</f>
      </c>
      <c r="B637">
        <f>IF('02 · Variables'!$C$58&lt;&gt;"",1,0)</f>
      </c>
      <c r="C637">
        <f>SUM('_motor'!$A$62:$CB$62)</f>
      </c>
      <c r="D637">
        <f>SUM('_motor'!AZ$11:AZ$90)</f>
      </c>
      <c r="E637">
        <f>SUM('_motor'!$A$308:$CB$308)</f>
      </c>
      <c r="F637">
        <f>SUM('_motor'!AZ$257:AZ$336)</f>
      </c>
      <c r="G637">
        <f>SUM('_motor'!$A$144:$CB$144)</f>
      </c>
      <c r="H637">
        <f>SUM('_motor'!AZ$93:AZ$172)</f>
      </c>
      <c r="I637">
        <f>SUM('_motor'!$A$554:$CB$554)</f>
      </c>
      <c r="J637">
        <f>SUM('_motor'!AZ$503:AZ$582)</f>
      </c>
      <c r="K637">
        <f>SUM('_motor'!$A$226:$CB$226)</f>
      </c>
      <c r="L637">
        <f>SUM('_motor'!$A$390:$CB$390)</f>
      </c>
      <c r="M637">
        <f>IF($B637=0,"",SUMPRODUCT('_motor'!$B$586:$B$665*('_motor'!$C$586:$C$665&gt;$C637))+(SUMPRODUCT('_motor'!$B$586:$B$665*('_motor'!$C$586:$C$665=$C637))+1)/2)</f>
        <v/>
      </c>
      <c r="N637">
        <f>IF($B637=0,"",SUMPRODUCT('_motor'!$B$586:$B$665*('_motor'!$K$586:$K$665&gt;$K637))+(SUMPRODUCT('_motor'!$B$586:$B$665*('_motor'!$K$586:$K$665=$K637))+1)/2)</f>
        <v/>
      </c>
      <c r="O637">
        <f>IF($B637=0,"",SUMPRODUCT('_motor'!$B$586:$B$665*('_motor'!$E$586:$E$665&gt;$E637))+(SUMPRODUCT('_motor'!$B$586:$B$665*('_motor'!$E$586:$E$665=$E637))+1)/2)</f>
        <v/>
      </c>
      <c r="P637">
        <f>IF($B637=0,"",SUMPRODUCT('_motor'!$B$586:$B$665*('_motor'!$L$586:$L$665&gt;$L637))+(SUMPRODUCT('_motor'!$B$586:$B$665*('_motor'!$L$586:$L$665=$L637))+1)/2)</f>
        <v/>
      </c>
    </row>
    <row r="638" spans="1:16" x14ac:dyDescent="0.2">
      <c r="A638">
        <f>'02 · Variables'!$B$59</f>
      </c>
      <c r="B638">
        <f>IF('02 · Variables'!$C$59&lt;&gt;"",1,0)</f>
      </c>
      <c r="C638">
        <f>SUM('_motor'!$A$63:$CB$63)</f>
      </c>
      <c r="D638">
        <f>SUM('_motor'!BA$11:BA$90)</f>
      </c>
      <c r="E638">
        <f>SUM('_motor'!$A$309:$CB$309)</f>
      </c>
      <c r="F638">
        <f>SUM('_motor'!BA$257:BA$336)</f>
      </c>
      <c r="G638">
        <f>SUM('_motor'!$A$145:$CB$145)</f>
      </c>
      <c r="H638">
        <f>SUM('_motor'!BA$93:BA$172)</f>
      </c>
      <c r="I638">
        <f>SUM('_motor'!$A$555:$CB$555)</f>
      </c>
      <c r="J638">
        <f>SUM('_motor'!BA$503:BA$582)</f>
      </c>
      <c r="K638">
        <f>SUM('_motor'!$A$227:$CB$227)</f>
      </c>
      <c r="L638">
        <f>SUM('_motor'!$A$391:$CB$391)</f>
      </c>
      <c r="M638">
        <f>IF($B638=0,"",SUMPRODUCT('_motor'!$B$586:$B$665*('_motor'!$C$586:$C$665&gt;$C638))+(SUMPRODUCT('_motor'!$B$586:$B$665*('_motor'!$C$586:$C$665=$C638))+1)/2)</f>
        <v/>
      </c>
      <c r="N638">
        <f>IF($B638=0,"",SUMPRODUCT('_motor'!$B$586:$B$665*('_motor'!$K$586:$K$665&gt;$K638))+(SUMPRODUCT('_motor'!$B$586:$B$665*('_motor'!$K$586:$K$665=$K638))+1)/2)</f>
        <v/>
      </c>
      <c r="O638">
        <f>IF($B638=0,"",SUMPRODUCT('_motor'!$B$586:$B$665*('_motor'!$E$586:$E$665&gt;$E638))+(SUMPRODUCT('_motor'!$B$586:$B$665*('_motor'!$E$586:$E$665=$E638))+1)/2)</f>
        <v/>
      </c>
      <c r="P638">
        <f>IF($B638=0,"",SUMPRODUCT('_motor'!$B$586:$B$665*('_motor'!$L$586:$L$665&gt;$L638))+(SUMPRODUCT('_motor'!$B$586:$B$665*('_motor'!$L$586:$L$665=$L638))+1)/2)</f>
        <v/>
      </c>
    </row>
    <row r="639" spans="1:16" x14ac:dyDescent="0.2">
      <c r="A639">
        <f>'02 · Variables'!$B$60</f>
      </c>
      <c r="B639">
        <f>IF('02 · Variables'!$C$60&lt;&gt;"",1,0)</f>
      </c>
      <c r="C639">
        <f>SUM('_motor'!$A$64:$CB$64)</f>
      </c>
      <c r="D639">
        <f>SUM('_motor'!BB$11:BB$90)</f>
      </c>
      <c r="E639">
        <f>SUM('_motor'!$A$310:$CB$310)</f>
      </c>
      <c r="F639">
        <f>SUM('_motor'!BB$257:BB$336)</f>
      </c>
      <c r="G639">
        <f>SUM('_motor'!$A$146:$CB$146)</f>
      </c>
      <c r="H639">
        <f>SUM('_motor'!BB$93:BB$172)</f>
      </c>
      <c r="I639">
        <f>SUM('_motor'!$A$556:$CB$556)</f>
      </c>
      <c r="J639">
        <f>SUM('_motor'!BB$503:BB$582)</f>
      </c>
      <c r="K639">
        <f>SUM('_motor'!$A$228:$CB$228)</f>
      </c>
      <c r="L639">
        <f>SUM('_motor'!$A$392:$CB$392)</f>
      </c>
      <c r="M639">
        <f>IF($B639=0,"",SUMPRODUCT('_motor'!$B$586:$B$665*('_motor'!$C$586:$C$665&gt;$C639))+(SUMPRODUCT('_motor'!$B$586:$B$665*('_motor'!$C$586:$C$665=$C639))+1)/2)</f>
        <v/>
      </c>
      <c r="N639">
        <f>IF($B639=0,"",SUMPRODUCT('_motor'!$B$586:$B$665*('_motor'!$K$586:$K$665&gt;$K639))+(SUMPRODUCT('_motor'!$B$586:$B$665*('_motor'!$K$586:$K$665=$K639))+1)/2)</f>
        <v/>
      </c>
      <c r="O639">
        <f>IF($B639=0,"",SUMPRODUCT('_motor'!$B$586:$B$665*('_motor'!$E$586:$E$665&gt;$E639))+(SUMPRODUCT('_motor'!$B$586:$B$665*('_motor'!$E$586:$E$665=$E639))+1)/2)</f>
        <v/>
      </c>
      <c r="P639">
        <f>IF($B639=0,"",SUMPRODUCT('_motor'!$B$586:$B$665*('_motor'!$L$586:$L$665&gt;$L639))+(SUMPRODUCT('_motor'!$B$586:$B$665*('_motor'!$L$586:$L$665=$L639))+1)/2)</f>
        <v/>
      </c>
    </row>
    <row r="640" spans="1:16" x14ac:dyDescent="0.2">
      <c r="A640">
        <f>'02 · Variables'!$B$61</f>
      </c>
      <c r="B640">
        <f>IF('02 · Variables'!$C$61&lt;&gt;"",1,0)</f>
      </c>
      <c r="C640">
        <f>SUM('_motor'!$A$65:$CB$65)</f>
      </c>
      <c r="D640">
        <f>SUM('_motor'!BC$11:BC$90)</f>
      </c>
      <c r="E640">
        <f>SUM('_motor'!$A$311:$CB$311)</f>
      </c>
      <c r="F640">
        <f>SUM('_motor'!BC$257:BC$336)</f>
      </c>
      <c r="G640">
        <f>SUM('_motor'!$A$147:$CB$147)</f>
      </c>
      <c r="H640">
        <f>SUM('_motor'!BC$93:BC$172)</f>
      </c>
      <c r="I640">
        <f>SUM('_motor'!$A$557:$CB$557)</f>
      </c>
      <c r="J640">
        <f>SUM('_motor'!BC$503:BC$582)</f>
      </c>
      <c r="K640">
        <f>SUM('_motor'!$A$229:$CB$229)</f>
      </c>
      <c r="L640">
        <f>SUM('_motor'!$A$393:$CB$393)</f>
      </c>
      <c r="M640">
        <f>IF($B640=0,"",SUMPRODUCT('_motor'!$B$586:$B$665*('_motor'!$C$586:$C$665&gt;$C640))+(SUMPRODUCT('_motor'!$B$586:$B$665*('_motor'!$C$586:$C$665=$C640))+1)/2)</f>
        <v/>
      </c>
      <c r="N640">
        <f>IF($B640=0,"",SUMPRODUCT('_motor'!$B$586:$B$665*('_motor'!$K$586:$K$665&gt;$K640))+(SUMPRODUCT('_motor'!$B$586:$B$665*('_motor'!$K$586:$K$665=$K640))+1)/2)</f>
        <v/>
      </c>
      <c r="O640">
        <f>IF($B640=0,"",SUMPRODUCT('_motor'!$B$586:$B$665*('_motor'!$E$586:$E$665&gt;$E640))+(SUMPRODUCT('_motor'!$B$586:$B$665*('_motor'!$E$586:$E$665=$E640))+1)/2)</f>
        <v/>
      </c>
      <c r="P640">
        <f>IF($B640=0,"",SUMPRODUCT('_motor'!$B$586:$B$665*('_motor'!$L$586:$L$665&gt;$L640))+(SUMPRODUCT('_motor'!$B$586:$B$665*('_motor'!$L$586:$L$665=$L640))+1)/2)</f>
        <v/>
      </c>
    </row>
    <row r="641" spans="1:16" x14ac:dyDescent="0.2">
      <c r="A641">
        <f>'02 · Variables'!$B$62</f>
      </c>
      <c r="B641">
        <f>IF('02 · Variables'!$C$62&lt;&gt;"",1,0)</f>
      </c>
      <c r="C641">
        <f>SUM('_motor'!$A$66:$CB$66)</f>
      </c>
      <c r="D641">
        <f>SUM('_motor'!BD$11:BD$90)</f>
      </c>
      <c r="E641">
        <f>SUM('_motor'!$A$312:$CB$312)</f>
      </c>
      <c r="F641">
        <f>SUM('_motor'!BD$257:BD$336)</f>
      </c>
      <c r="G641">
        <f>SUM('_motor'!$A$148:$CB$148)</f>
      </c>
      <c r="H641">
        <f>SUM('_motor'!BD$93:BD$172)</f>
      </c>
      <c r="I641">
        <f>SUM('_motor'!$A$558:$CB$558)</f>
      </c>
      <c r="J641">
        <f>SUM('_motor'!BD$503:BD$582)</f>
      </c>
      <c r="K641">
        <f>SUM('_motor'!$A$230:$CB$230)</f>
      </c>
      <c r="L641">
        <f>SUM('_motor'!$A$394:$CB$394)</f>
      </c>
      <c r="M641">
        <f>IF($B641=0,"",SUMPRODUCT('_motor'!$B$586:$B$665*('_motor'!$C$586:$C$665&gt;$C641))+(SUMPRODUCT('_motor'!$B$586:$B$665*('_motor'!$C$586:$C$665=$C641))+1)/2)</f>
        <v/>
      </c>
      <c r="N641">
        <f>IF($B641=0,"",SUMPRODUCT('_motor'!$B$586:$B$665*('_motor'!$K$586:$K$665&gt;$K641))+(SUMPRODUCT('_motor'!$B$586:$B$665*('_motor'!$K$586:$K$665=$K641))+1)/2)</f>
        <v/>
      </c>
      <c r="O641">
        <f>IF($B641=0,"",SUMPRODUCT('_motor'!$B$586:$B$665*('_motor'!$E$586:$E$665&gt;$E641))+(SUMPRODUCT('_motor'!$B$586:$B$665*('_motor'!$E$586:$E$665=$E641))+1)/2)</f>
        <v/>
      </c>
      <c r="P641">
        <f>IF($B641=0,"",SUMPRODUCT('_motor'!$B$586:$B$665*('_motor'!$L$586:$L$665&gt;$L641))+(SUMPRODUCT('_motor'!$B$586:$B$665*('_motor'!$L$586:$L$665=$L641))+1)/2)</f>
        <v/>
      </c>
    </row>
    <row r="642" spans="1:16" x14ac:dyDescent="0.2">
      <c r="A642">
        <f>'02 · Variables'!$B$63</f>
      </c>
      <c r="B642">
        <f>IF('02 · Variables'!$C$63&lt;&gt;"",1,0)</f>
      </c>
      <c r="C642">
        <f>SUM('_motor'!$A$67:$CB$67)</f>
      </c>
      <c r="D642">
        <f>SUM('_motor'!BE$11:BE$90)</f>
      </c>
      <c r="E642">
        <f>SUM('_motor'!$A$313:$CB$313)</f>
      </c>
      <c r="F642">
        <f>SUM('_motor'!BE$257:BE$336)</f>
      </c>
      <c r="G642">
        <f>SUM('_motor'!$A$149:$CB$149)</f>
      </c>
      <c r="H642">
        <f>SUM('_motor'!BE$93:BE$172)</f>
      </c>
      <c r="I642">
        <f>SUM('_motor'!$A$559:$CB$559)</f>
      </c>
      <c r="J642">
        <f>SUM('_motor'!BE$503:BE$582)</f>
      </c>
      <c r="K642">
        <f>SUM('_motor'!$A$231:$CB$231)</f>
      </c>
      <c r="L642">
        <f>SUM('_motor'!$A$395:$CB$395)</f>
      </c>
      <c r="M642">
        <f>IF($B642=0,"",SUMPRODUCT('_motor'!$B$586:$B$665*('_motor'!$C$586:$C$665&gt;$C642))+(SUMPRODUCT('_motor'!$B$586:$B$665*('_motor'!$C$586:$C$665=$C642))+1)/2)</f>
        <v/>
      </c>
      <c r="N642">
        <f>IF($B642=0,"",SUMPRODUCT('_motor'!$B$586:$B$665*('_motor'!$K$586:$K$665&gt;$K642))+(SUMPRODUCT('_motor'!$B$586:$B$665*('_motor'!$K$586:$K$665=$K642))+1)/2)</f>
        <v/>
      </c>
      <c r="O642">
        <f>IF($B642=0,"",SUMPRODUCT('_motor'!$B$586:$B$665*('_motor'!$E$586:$E$665&gt;$E642))+(SUMPRODUCT('_motor'!$B$586:$B$665*('_motor'!$E$586:$E$665=$E642))+1)/2)</f>
        <v/>
      </c>
      <c r="P642">
        <f>IF($B642=0,"",SUMPRODUCT('_motor'!$B$586:$B$665*('_motor'!$L$586:$L$665&gt;$L642))+(SUMPRODUCT('_motor'!$B$586:$B$665*('_motor'!$L$586:$L$665=$L642))+1)/2)</f>
        <v/>
      </c>
    </row>
    <row r="643" spans="1:16" x14ac:dyDescent="0.2">
      <c r="A643">
        <f>'02 · Variables'!$B$64</f>
      </c>
      <c r="B643">
        <f>IF('02 · Variables'!$C$64&lt;&gt;"",1,0)</f>
      </c>
      <c r="C643">
        <f>SUM('_motor'!$A$68:$CB$68)</f>
      </c>
      <c r="D643">
        <f>SUM('_motor'!BF$11:BF$90)</f>
      </c>
      <c r="E643">
        <f>SUM('_motor'!$A$314:$CB$314)</f>
      </c>
      <c r="F643">
        <f>SUM('_motor'!BF$257:BF$336)</f>
      </c>
      <c r="G643">
        <f>SUM('_motor'!$A$150:$CB$150)</f>
      </c>
      <c r="H643">
        <f>SUM('_motor'!BF$93:BF$172)</f>
      </c>
      <c r="I643">
        <f>SUM('_motor'!$A$560:$CB$560)</f>
      </c>
      <c r="J643">
        <f>SUM('_motor'!BF$503:BF$582)</f>
      </c>
      <c r="K643">
        <f>SUM('_motor'!$A$232:$CB$232)</f>
      </c>
      <c r="L643">
        <f>SUM('_motor'!$A$396:$CB$396)</f>
      </c>
      <c r="M643">
        <f>IF($B643=0,"",SUMPRODUCT('_motor'!$B$586:$B$665*('_motor'!$C$586:$C$665&gt;$C643))+(SUMPRODUCT('_motor'!$B$586:$B$665*('_motor'!$C$586:$C$665=$C643))+1)/2)</f>
        <v/>
      </c>
      <c r="N643">
        <f>IF($B643=0,"",SUMPRODUCT('_motor'!$B$586:$B$665*('_motor'!$K$586:$K$665&gt;$K643))+(SUMPRODUCT('_motor'!$B$586:$B$665*('_motor'!$K$586:$K$665=$K643))+1)/2)</f>
        <v/>
      </c>
      <c r="O643">
        <f>IF($B643=0,"",SUMPRODUCT('_motor'!$B$586:$B$665*('_motor'!$E$586:$E$665&gt;$E643))+(SUMPRODUCT('_motor'!$B$586:$B$665*('_motor'!$E$586:$E$665=$E643))+1)/2)</f>
        <v/>
      </c>
      <c r="P643">
        <f>IF($B643=0,"",SUMPRODUCT('_motor'!$B$586:$B$665*('_motor'!$L$586:$L$665&gt;$L643))+(SUMPRODUCT('_motor'!$B$586:$B$665*('_motor'!$L$586:$L$665=$L643))+1)/2)</f>
        <v/>
      </c>
    </row>
    <row r="644" spans="1:16" x14ac:dyDescent="0.2">
      <c r="A644">
        <f>'02 · Variables'!$B$65</f>
      </c>
      <c r="B644">
        <f>IF('02 · Variables'!$C$65&lt;&gt;"",1,0)</f>
      </c>
      <c r="C644">
        <f>SUM('_motor'!$A$69:$CB$69)</f>
      </c>
      <c r="D644">
        <f>SUM('_motor'!BG$11:BG$90)</f>
      </c>
      <c r="E644">
        <f>SUM('_motor'!$A$315:$CB$315)</f>
      </c>
      <c r="F644">
        <f>SUM('_motor'!BG$257:BG$336)</f>
      </c>
      <c r="G644">
        <f>SUM('_motor'!$A$151:$CB$151)</f>
      </c>
      <c r="H644">
        <f>SUM('_motor'!BG$93:BG$172)</f>
      </c>
      <c r="I644">
        <f>SUM('_motor'!$A$561:$CB$561)</f>
      </c>
      <c r="J644">
        <f>SUM('_motor'!BG$503:BG$582)</f>
      </c>
      <c r="K644">
        <f>SUM('_motor'!$A$233:$CB$233)</f>
      </c>
      <c r="L644">
        <f>SUM('_motor'!$A$397:$CB$397)</f>
      </c>
      <c r="M644">
        <f>IF($B644=0,"",SUMPRODUCT('_motor'!$B$586:$B$665*('_motor'!$C$586:$C$665&gt;$C644))+(SUMPRODUCT('_motor'!$B$586:$B$665*('_motor'!$C$586:$C$665=$C644))+1)/2)</f>
        <v/>
      </c>
      <c r="N644">
        <f>IF($B644=0,"",SUMPRODUCT('_motor'!$B$586:$B$665*('_motor'!$K$586:$K$665&gt;$K644))+(SUMPRODUCT('_motor'!$B$586:$B$665*('_motor'!$K$586:$K$665=$K644))+1)/2)</f>
        <v/>
      </c>
      <c r="O644">
        <f>IF($B644=0,"",SUMPRODUCT('_motor'!$B$586:$B$665*('_motor'!$E$586:$E$665&gt;$E644))+(SUMPRODUCT('_motor'!$B$586:$B$665*('_motor'!$E$586:$E$665=$E644))+1)/2)</f>
        <v/>
      </c>
      <c r="P644">
        <f>IF($B644=0,"",SUMPRODUCT('_motor'!$B$586:$B$665*('_motor'!$L$586:$L$665&gt;$L644))+(SUMPRODUCT('_motor'!$B$586:$B$665*('_motor'!$L$586:$L$665=$L644))+1)/2)</f>
        <v/>
      </c>
    </row>
    <row r="645" spans="1:16" x14ac:dyDescent="0.2">
      <c r="A645">
        <f>'02 · Variables'!$B$66</f>
      </c>
      <c r="B645">
        <f>IF('02 · Variables'!$C$66&lt;&gt;"",1,0)</f>
      </c>
      <c r="C645">
        <f>SUM('_motor'!$A$70:$CB$70)</f>
      </c>
      <c r="D645">
        <f>SUM('_motor'!BH$11:BH$90)</f>
      </c>
      <c r="E645">
        <f>SUM('_motor'!$A$316:$CB$316)</f>
      </c>
      <c r="F645">
        <f>SUM('_motor'!BH$257:BH$336)</f>
      </c>
      <c r="G645">
        <f>SUM('_motor'!$A$152:$CB$152)</f>
      </c>
      <c r="H645">
        <f>SUM('_motor'!BH$93:BH$172)</f>
      </c>
      <c r="I645">
        <f>SUM('_motor'!$A$562:$CB$562)</f>
      </c>
      <c r="J645">
        <f>SUM('_motor'!BH$503:BH$582)</f>
      </c>
      <c r="K645">
        <f>SUM('_motor'!$A$234:$CB$234)</f>
      </c>
      <c r="L645">
        <f>SUM('_motor'!$A$398:$CB$398)</f>
      </c>
      <c r="M645">
        <f>IF($B645=0,"",SUMPRODUCT('_motor'!$B$586:$B$665*('_motor'!$C$586:$C$665&gt;$C645))+(SUMPRODUCT('_motor'!$B$586:$B$665*('_motor'!$C$586:$C$665=$C645))+1)/2)</f>
        <v/>
      </c>
      <c r="N645">
        <f>IF($B645=0,"",SUMPRODUCT('_motor'!$B$586:$B$665*('_motor'!$K$586:$K$665&gt;$K645))+(SUMPRODUCT('_motor'!$B$586:$B$665*('_motor'!$K$586:$K$665=$K645))+1)/2)</f>
        <v/>
      </c>
      <c r="O645">
        <f>IF($B645=0,"",SUMPRODUCT('_motor'!$B$586:$B$665*('_motor'!$E$586:$E$665&gt;$E645))+(SUMPRODUCT('_motor'!$B$586:$B$665*('_motor'!$E$586:$E$665=$E645))+1)/2)</f>
        <v/>
      </c>
      <c r="P645">
        <f>IF($B645=0,"",SUMPRODUCT('_motor'!$B$586:$B$665*('_motor'!$L$586:$L$665&gt;$L645))+(SUMPRODUCT('_motor'!$B$586:$B$665*('_motor'!$L$586:$L$665=$L645))+1)/2)</f>
        <v/>
      </c>
    </row>
    <row r="646" spans="1:16" x14ac:dyDescent="0.2">
      <c r="A646">
        <f>'02 · Variables'!$B$67</f>
      </c>
      <c r="B646">
        <f>IF('02 · Variables'!$C$67&lt;&gt;"",1,0)</f>
      </c>
      <c r="C646">
        <f>SUM('_motor'!$A$71:$CB$71)</f>
      </c>
      <c r="D646">
        <f>SUM('_motor'!BI$11:BI$90)</f>
      </c>
      <c r="E646">
        <f>SUM('_motor'!$A$317:$CB$317)</f>
      </c>
      <c r="F646">
        <f>SUM('_motor'!BI$257:BI$336)</f>
      </c>
      <c r="G646">
        <f>SUM('_motor'!$A$153:$CB$153)</f>
      </c>
      <c r="H646">
        <f>SUM('_motor'!BI$93:BI$172)</f>
      </c>
      <c r="I646">
        <f>SUM('_motor'!$A$563:$CB$563)</f>
      </c>
      <c r="J646">
        <f>SUM('_motor'!BI$503:BI$582)</f>
      </c>
      <c r="K646">
        <f>SUM('_motor'!$A$235:$CB$235)</f>
      </c>
      <c r="L646">
        <f>SUM('_motor'!$A$399:$CB$399)</f>
      </c>
      <c r="M646">
        <f>IF($B646=0,"",SUMPRODUCT('_motor'!$B$586:$B$665*('_motor'!$C$586:$C$665&gt;$C646))+(SUMPRODUCT('_motor'!$B$586:$B$665*('_motor'!$C$586:$C$665=$C646))+1)/2)</f>
        <v/>
      </c>
      <c r="N646">
        <f>IF($B646=0,"",SUMPRODUCT('_motor'!$B$586:$B$665*('_motor'!$K$586:$K$665&gt;$K646))+(SUMPRODUCT('_motor'!$B$586:$B$665*('_motor'!$K$586:$K$665=$K646))+1)/2)</f>
        <v/>
      </c>
      <c r="O646">
        <f>IF($B646=0,"",SUMPRODUCT('_motor'!$B$586:$B$665*('_motor'!$E$586:$E$665&gt;$E646))+(SUMPRODUCT('_motor'!$B$586:$B$665*('_motor'!$E$586:$E$665=$E646))+1)/2)</f>
        <v/>
      </c>
      <c r="P646">
        <f>IF($B646=0,"",SUMPRODUCT('_motor'!$B$586:$B$665*('_motor'!$L$586:$L$665&gt;$L646))+(SUMPRODUCT('_motor'!$B$586:$B$665*('_motor'!$L$586:$L$665=$L646))+1)/2)</f>
        <v/>
      </c>
    </row>
    <row r="647" spans="1:16" x14ac:dyDescent="0.2">
      <c r="A647">
        <f>'02 · Variables'!$B$68</f>
      </c>
      <c r="B647">
        <f>IF('02 · Variables'!$C$68&lt;&gt;"",1,0)</f>
      </c>
      <c r="C647">
        <f>SUM('_motor'!$A$72:$CB$72)</f>
      </c>
      <c r="D647">
        <f>SUM('_motor'!BJ$11:BJ$90)</f>
      </c>
      <c r="E647">
        <f>SUM('_motor'!$A$318:$CB$318)</f>
      </c>
      <c r="F647">
        <f>SUM('_motor'!BJ$257:BJ$336)</f>
      </c>
      <c r="G647">
        <f>SUM('_motor'!$A$154:$CB$154)</f>
      </c>
      <c r="H647">
        <f>SUM('_motor'!BJ$93:BJ$172)</f>
      </c>
      <c r="I647">
        <f>SUM('_motor'!$A$564:$CB$564)</f>
      </c>
      <c r="J647">
        <f>SUM('_motor'!BJ$503:BJ$582)</f>
      </c>
      <c r="K647">
        <f>SUM('_motor'!$A$236:$CB$236)</f>
      </c>
      <c r="L647">
        <f>SUM('_motor'!$A$400:$CB$400)</f>
      </c>
      <c r="M647">
        <f>IF($B647=0,"",SUMPRODUCT('_motor'!$B$586:$B$665*('_motor'!$C$586:$C$665&gt;$C647))+(SUMPRODUCT('_motor'!$B$586:$B$665*('_motor'!$C$586:$C$665=$C647))+1)/2)</f>
        <v/>
      </c>
      <c r="N647">
        <f>IF($B647=0,"",SUMPRODUCT('_motor'!$B$586:$B$665*('_motor'!$K$586:$K$665&gt;$K647))+(SUMPRODUCT('_motor'!$B$586:$B$665*('_motor'!$K$586:$K$665=$K647))+1)/2)</f>
        <v/>
      </c>
      <c r="O647">
        <f>IF($B647=0,"",SUMPRODUCT('_motor'!$B$586:$B$665*('_motor'!$E$586:$E$665&gt;$E647))+(SUMPRODUCT('_motor'!$B$586:$B$665*('_motor'!$E$586:$E$665=$E647))+1)/2)</f>
        <v/>
      </c>
      <c r="P647">
        <f>IF($B647=0,"",SUMPRODUCT('_motor'!$B$586:$B$665*('_motor'!$L$586:$L$665&gt;$L647))+(SUMPRODUCT('_motor'!$B$586:$B$665*('_motor'!$L$586:$L$665=$L647))+1)/2)</f>
        <v/>
      </c>
    </row>
    <row r="648" spans="1:16" x14ac:dyDescent="0.2">
      <c r="A648">
        <f>'02 · Variables'!$B$69</f>
      </c>
      <c r="B648">
        <f>IF('02 · Variables'!$C$69&lt;&gt;"",1,0)</f>
      </c>
      <c r="C648">
        <f>SUM('_motor'!$A$73:$CB$73)</f>
      </c>
      <c r="D648">
        <f>SUM('_motor'!BK$11:BK$90)</f>
      </c>
      <c r="E648">
        <f>SUM('_motor'!$A$319:$CB$319)</f>
      </c>
      <c r="F648">
        <f>SUM('_motor'!BK$257:BK$336)</f>
      </c>
      <c r="G648">
        <f>SUM('_motor'!$A$155:$CB$155)</f>
      </c>
      <c r="H648">
        <f>SUM('_motor'!BK$93:BK$172)</f>
      </c>
      <c r="I648">
        <f>SUM('_motor'!$A$565:$CB$565)</f>
      </c>
      <c r="J648">
        <f>SUM('_motor'!BK$503:BK$582)</f>
      </c>
      <c r="K648">
        <f>SUM('_motor'!$A$237:$CB$237)</f>
      </c>
      <c r="L648">
        <f>SUM('_motor'!$A$401:$CB$401)</f>
      </c>
      <c r="M648">
        <f>IF($B648=0,"",SUMPRODUCT('_motor'!$B$586:$B$665*('_motor'!$C$586:$C$665&gt;$C648))+(SUMPRODUCT('_motor'!$B$586:$B$665*('_motor'!$C$586:$C$665=$C648))+1)/2)</f>
        <v/>
      </c>
      <c r="N648">
        <f>IF($B648=0,"",SUMPRODUCT('_motor'!$B$586:$B$665*('_motor'!$K$586:$K$665&gt;$K648))+(SUMPRODUCT('_motor'!$B$586:$B$665*('_motor'!$K$586:$K$665=$K648))+1)/2)</f>
        <v/>
      </c>
      <c r="O648">
        <f>IF($B648=0,"",SUMPRODUCT('_motor'!$B$586:$B$665*('_motor'!$E$586:$E$665&gt;$E648))+(SUMPRODUCT('_motor'!$B$586:$B$665*('_motor'!$E$586:$E$665=$E648))+1)/2)</f>
        <v/>
      </c>
      <c r="P648">
        <f>IF($B648=0,"",SUMPRODUCT('_motor'!$B$586:$B$665*('_motor'!$L$586:$L$665&gt;$L648))+(SUMPRODUCT('_motor'!$B$586:$B$665*('_motor'!$L$586:$L$665=$L648))+1)/2)</f>
        <v/>
      </c>
    </row>
    <row r="649" spans="1:16" x14ac:dyDescent="0.2">
      <c r="A649">
        <f>'02 · Variables'!$B$70</f>
      </c>
      <c r="B649">
        <f>IF('02 · Variables'!$C$70&lt;&gt;"",1,0)</f>
      </c>
      <c r="C649">
        <f>SUM('_motor'!$A$74:$CB$74)</f>
      </c>
      <c r="D649">
        <f>SUM('_motor'!BL$11:BL$90)</f>
      </c>
      <c r="E649">
        <f>SUM('_motor'!$A$320:$CB$320)</f>
      </c>
      <c r="F649">
        <f>SUM('_motor'!BL$257:BL$336)</f>
      </c>
      <c r="G649">
        <f>SUM('_motor'!$A$156:$CB$156)</f>
      </c>
      <c r="H649">
        <f>SUM('_motor'!BL$93:BL$172)</f>
      </c>
      <c r="I649">
        <f>SUM('_motor'!$A$566:$CB$566)</f>
      </c>
      <c r="J649">
        <f>SUM('_motor'!BL$503:BL$582)</f>
      </c>
      <c r="K649">
        <f>SUM('_motor'!$A$238:$CB$238)</f>
      </c>
      <c r="L649">
        <f>SUM('_motor'!$A$402:$CB$402)</f>
      </c>
      <c r="M649">
        <f>IF($B649=0,"",SUMPRODUCT('_motor'!$B$586:$B$665*('_motor'!$C$586:$C$665&gt;$C649))+(SUMPRODUCT('_motor'!$B$586:$B$665*('_motor'!$C$586:$C$665=$C649))+1)/2)</f>
        <v/>
      </c>
      <c r="N649">
        <f>IF($B649=0,"",SUMPRODUCT('_motor'!$B$586:$B$665*('_motor'!$K$586:$K$665&gt;$K649))+(SUMPRODUCT('_motor'!$B$586:$B$665*('_motor'!$K$586:$K$665=$K649))+1)/2)</f>
        <v/>
      </c>
      <c r="O649">
        <f>IF($B649=0,"",SUMPRODUCT('_motor'!$B$586:$B$665*('_motor'!$E$586:$E$665&gt;$E649))+(SUMPRODUCT('_motor'!$B$586:$B$665*('_motor'!$E$586:$E$665=$E649))+1)/2)</f>
        <v/>
      </c>
      <c r="P649">
        <f>IF($B649=0,"",SUMPRODUCT('_motor'!$B$586:$B$665*('_motor'!$L$586:$L$665&gt;$L649))+(SUMPRODUCT('_motor'!$B$586:$B$665*('_motor'!$L$586:$L$665=$L649))+1)/2)</f>
        <v/>
      </c>
    </row>
    <row r="650" spans="1:16" x14ac:dyDescent="0.2">
      <c r="A650">
        <f>'02 · Variables'!$B$71</f>
      </c>
      <c r="B650">
        <f>IF('02 · Variables'!$C$71&lt;&gt;"",1,0)</f>
      </c>
      <c r="C650">
        <f>SUM('_motor'!$A$75:$CB$75)</f>
      </c>
      <c r="D650">
        <f>SUM('_motor'!BM$11:BM$90)</f>
      </c>
      <c r="E650">
        <f>SUM('_motor'!$A$321:$CB$321)</f>
      </c>
      <c r="F650">
        <f>SUM('_motor'!BM$257:BM$336)</f>
      </c>
      <c r="G650">
        <f>SUM('_motor'!$A$157:$CB$157)</f>
      </c>
      <c r="H650">
        <f>SUM('_motor'!BM$93:BM$172)</f>
      </c>
      <c r="I650">
        <f>SUM('_motor'!$A$567:$CB$567)</f>
      </c>
      <c r="J650">
        <f>SUM('_motor'!BM$503:BM$582)</f>
      </c>
      <c r="K650">
        <f>SUM('_motor'!$A$239:$CB$239)</f>
      </c>
      <c r="L650">
        <f>SUM('_motor'!$A$403:$CB$403)</f>
      </c>
      <c r="M650">
        <f>IF($B650=0,"",SUMPRODUCT('_motor'!$B$586:$B$665*('_motor'!$C$586:$C$665&gt;$C650))+(SUMPRODUCT('_motor'!$B$586:$B$665*('_motor'!$C$586:$C$665=$C650))+1)/2)</f>
        <v/>
      </c>
      <c r="N650">
        <f>IF($B650=0,"",SUMPRODUCT('_motor'!$B$586:$B$665*('_motor'!$K$586:$K$665&gt;$K650))+(SUMPRODUCT('_motor'!$B$586:$B$665*('_motor'!$K$586:$K$665=$K650))+1)/2)</f>
        <v/>
      </c>
      <c r="O650">
        <f>IF($B650=0,"",SUMPRODUCT('_motor'!$B$586:$B$665*('_motor'!$E$586:$E$665&gt;$E650))+(SUMPRODUCT('_motor'!$B$586:$B$665*('_motor'!$E$586:$E$665=$E650))+1)/2)</f>
        <v/>
      </c>
      <c r="P650">
        <f>IF($B650=0,"",SUMPRODUCT('_motor'!$B$586:$B$665*('_motor'!$L$586:$L$665&gt;$L650))+(SUMPRODUCT('_motor'!$B$586:$B$665*('_motor'!$L$586:$L$665=$L650))+1)/2)</f>
        <v/>
      </c>
    </row>
    <row r="651" spans="1:16" x14ac:dyDescent="0.2">
      <c r="A651">
        <f>'02 · Variables'!$B$72</f>
      </c>
      <c r="B651">
        <f>IF('02 · Variables'!$C$72&lt;&gt;"",1,0)</f>
      </c>
      <c r="C651">
        <f>SUM('_motor'!$A$76:$CB$76)</f>
      </c>
      <c r="D651">
        <f>SUM('_motor'!BN$11:BN$90)</f>
      </c>
      <c r="E651">
        <f>SUM('_motor'!$A$322:$CB$322)</f>
      </c>
      <c r="F651">
        <f>SUM('_motor'!BN$257:BN$336)</f>
      </c>
      <c r="G651">
        <f>SUM('_motor'!$A$158:$CB$158)</f>
      </c>
      <c r="H651">
        <f>SUM('_motor'!BN$93:BN$172)</f>
      </c>
      <c r="I651">
        <f>SUM('_motor'!$A$568:$CB$568)</f>
      </c>
      <c r="J651">
        <f>SUM('_motor'!BN$503:BN$582)</f>
      </c>
      <c r="K651">
        <f>SUM('_motor'!$A$240:$CB$240)</f>
      </c>
      <c r="L651">
        <f>SUM('_motor'!$A$404:$CB$404)</f>
      </c>
      <c r="M651">
        <f>IF($B651=0,"",SUMPRODUCT('_motor'!$B$586:$B$665*('_motor'!$C$586:$C$665&gt;$C651))+(SUMPRODUCT('_motor'!$B$586:$B$665*('_motor'!$C$586:$C$665=$C651))+1)/2)</f>
        <v/>
      </c>
      <c r="N651">
        <f>IF($B651=0,"",SUMPRODUCT('_motor'!$B$586:$B$665*('_motor'!$K$586:$K$665&gt;$K651))+(SUMPRODUCT('_motor'!$B$586:$B$665*('_motor'!$K$586:$K$665=$K651))+1)/2)</f>
        <v/>
      </c>
      <c r="O651">
        <f>IF($B651=0,"",SUMPRODUCT('_motor'!$B$586:$B$665*('_motor'!$E$586:$E$665&gt;$E651))+(SUMPRODUCT('_motor'!$B$586:$B$665*('_motor'!$E$586:$E$665=$E651))+1)/2)</f>
        <v/>
      </c>
      <c r="P651">
        <f>IF($B651=0,"",SUMPRODUCT('_motor'!$B$586:$B$665*('_motor'!$L$586:$L$665&gt;$L651))+(SUMPRODUCT('_motor'!$B$586:$B$665*('_motor'!$L$586:$L$665=$L651))+1)/2)</f>
        <v/>
      </c>
    </row>
    <row r="652" spans="1:16" x14ac:dyDescent="0.2">
      <c r="A652">
        <f>'02 · Variables'!$B$73</f>
      </c>
      <c r="B652">
        <f>IF('02 · Variables'!$C$73&lt;&gt;"",1,0)</f>
      </c>
      <c r="C652">
        <f>SUM('_motor'!$A$77:$CB$77)</f>
      </c>
      <c r="D652">
        <f>SUM('_motor'!BO$11:BO$90)</f>
      </c>
      <c r="E652">
        <f>SUM('_motor'!$A$323:$CB$323)</f>
      </c>
      <c r="F652">
        <f>SUM('_motor'!BO$257:BO$336)</f>
      </c>
      <c r="G652">
        <f>SUM('_motor'!$A$159:$CB$159)</f>
      </c>
      <c r="H652">
        <f>SUM('_motor'!BO$93:BO$172)</f>
      </c>
      <c r="I652">
        <f>SUM('_motor'!$A$569:$CB$569)</f>
      </c>
      <c r="J652">
        <f>SUM('_motor'!BO$503:BO$582)</f>
      </c>
      <c r="K652">
        <f>SUM('_motor'!$A$241:$CB$241)</f>
      </c>
      <c r="L652">
        <f>SUM('_motor'!$A$405:$CB$405)</f>
      </c>
      <c r="M652">
        <f>IF($B652=0,"",SUMPRODUCT('_motor'!$B$586:$B$665*('_motor'!$C$586:$C$665&gt;$C652))+(SUMPRODUCT('_motor'!$B$586:$B$665*('_motor'!$C$586:$C$665=$C652))+1)/2)</f>
        <v/>
      </c>
      <c r="N652">
        <f>IF($B652=0,"",SUMPRODUCT('_motor'!$B$586:$B$665*('_motor'!$K$586:$K$665&gt;$K652))+(SUMPRODUCT('_motor'!$B$586:$B$665*('_motor'!$K$586:$K$665=$K652))+1)/2)</f>
        <v/>
      </c>
      <c r="O652">
        <f>IF($B652=0,"",SUMPRODUCT('_motor'!$B$586:$B$665*('_motor'!$E$586:$E$665&gt;$E652))+(SUMPRODUCT('_motor'!$B$586:$B$665*('_motor'!$E$586:$E$665=$E652))+1)/2)</f>
        <v/>
      </c>
      <c r="P652">
        <f>IF($B652=0,"",SUMPRODUCT('_motor'!$B$586:$B$665*('_motor'!$L$586:$L$665&gt;$L652))+(SUMPRODUCT('_motor'!$B$586:$B$665*('_motor'!$L$586:$L$665=$L652))+1)/2)</f>
        <v/>
      </c>
    </row>
    <row r="653" spans="1:16" x14ac:dyDescent="0.2">
      <c r="A653">
        <f>'02 · Variables'!$B$74</f>
      </c>
      <c r="B653">
        <f>IF('02 · Variables'!$C$74&lt;&gt;"",1,0)</f>
      </c>
      <c r="C653">
        <f>SUM('_motor'!$A$78:$CB$78)</f>
      </c>
      <c r="D653">
        <f>SUM('_motor'!BP$11:BP$90)</f>
      </c>
      <c r="E653">
        <f>SUM('_motor'!$A$324:$CB$324)</f>
      </c>
      <c r="F653">
        <f>SUM('_motor'!BP$257:BP$336)</f>
      </c>
      <c r="G653">
        <f>SUM('_motor'!$A$160:$CB$160)</f>
      </c>
      <c r="H653">
        <f>SUM('_motor'!BP$93:BP$172)</f>
      </c>
      <c r="I653">
        <f>SUM('_motor'!$A$570:$CB$570)</f>
      </c>
      <c r="J653">
        <f>SUM('_motor'!BP$503:BP$582)</f>
      </c>
      <c r="K653">
        <f>SUM('_motor'!$A$242:$CB$242)</f>
      </c>
      <c r="L653">
        <f>SUM('_motor'!$A$406:$CB$406)</f>
      </c>
      <c r="M653">
        <f>IF($B653=0,"",SUMPRODUCT('_motor'!$B$586:$B$665*('_motor'!$C$586:$C$665&gt;$C653))+(SUMPRODUCT('_motor'!$B$586:$B$665*('_motor'!$C$586:$C$665=$C653))+1)/2)</f>
        <v/>
      </c>
      <c r="N653">
        <f>IF($B653=0,"",SUMPRODUCT('_motor'!$B$586:$B$665*('_motor'!$K$586:$K$665&gt;$K653))+(SUMPRODUCT('_motor'!$B$586:$B$665*('_motor'!$K$586:$K$665=$K653))+1)/2)</f>
        <v/>
      </c>
      <c r="O653">
        <f>IF($B653=0,"",SUMPRODUCT('_motor'!$B$586:$B$665*('_motor'!$E$586:$E$665&gt;$E653))+(SUMPRODUCT('_motor'!$B$586:$B$665*('_motor'!$E$586:$E$665=$E653))+1)/2)</f>
        <v/>
      </c>
      <c r="P653">
        <f>IF($B653=0,"",SUMPRODUCT('_motor'!$B$586:$B$665*('_motor'!$L$586:$L$665&gt;$L653))+(SUMPRODUCT('_motor'!$B$586:$B$665*('_motor'!$L$586:$L$665=$L653))+1)/2)</f>
        <v/>
      </c>
    </row>
    <row r="654" spans="1:16" x14ac:dyDescent="0.2">
      <c r="A654">
        <f>'02 · Variables'!$B$75</f>
      </c>
      <c r="B654">
        <f>IF('02 · Variables'!$C$75&lt;&gt;"",1,0)</f>
      </c>
      <c r="C654">
        <f>SUM('_motor'!$A$79:$CB$79)</f>
      </c>
      <c r="D654">
        <f>SUM('_motor'!BQ$11:BQ$90)</f>
      </c>
      <c r="E654">
        <f>SUM('_motor'!$A$325:$CB$325)</f>
      </c>
      <c r="F654">
        <f>SUM('_motor'!BQ$257:BQ$336)</f>
      </c>
      <c r="G654">
        <f>SUM('_motor'!$A$161:$CB$161)</f>
      </c>
      <c r="H654">
        <f>SUM('_motor'!BQ$93:BQ$172)</f>
      </c>
      <c r="I654">
        <f>SUM('_motor'!$A$571:$CB$571)</f>
      </c>
      <c r="J654">
        <f>SUM('_motor'!BQ$503:BQ$582)</f>
      </c>
      <c r="K654">
        <f>SUM('_motor'!$A$243:$CB$243)</f>
      </c>
      <c r="L654">
        <f>SUM('_motor'!$A$407:$CB$407)</f>
      </c>
      <c r="M654">
        <f>IF($B654=0,"",SUMPRODUCT('_motor'!$B$586:$B$665*('_motor'!$C$586:$C$665&gt;$C654))+(SUMPRODUCT('_motor'!$B$586:$B$665*('_motor'!$C$586:$C$665=$C654))+1)/2)</f>
        <v/>
      </c>
      <c r="N654">
        <f>IF($B654=0,"",SUMPRODUCT('_motor'!$B$586:$B$665*('_motor'!$K$586:$K$665&gt;$K654))+(SUMPRODUCT('_motor'!$B$586:$B$665*('_motor'!$K$586:$K$665=$K654))+1)/2)</f>
        <v/>
      </c>
      <c r="O654">
        <f>IF($B654=0,"",SUMPRODUCT('_motor'!$B$586:$B$665*('_motor'!$E$586:$E$665&gt;$E654))+(SUMPRODUCT('_motor'!$B$586:$B$665*('_motor'!$E$586:$E$665=$E654))+1)/2)</f>
        <v/>
      </c>
      <c r="P654">
        <f>IF($B654=0,"",SUMPRODUCT('_motor'!$B$586:$B$665*('_motor'!$L$586:$L$665&gt;$L654))+(SUMPRODUCT('_motor'!$B$586:$B$665*('_motor'!$L$586:$L$665=$L654))+1)/2)</f>
        <v/>
      </c>
    </row>
    <row r="655" spans="1:16" x14ac:dyDescent="0.2">
      <c r="A655">
        <f>'02 · Variables'!$B$76</f>
      </c>
      <c r="B655">
        <f>IF('02 · Variables'!$C$76&lt;&gt;"",1,0)</f>
      </c>
      <c r="C655">
        <f>SUM('_motor'!$A$80:$CB$80)</f>
      </c>
      <c r="D655">
        <f>SUM('_motor'!BR$11:BR$90)</f>
      </c>
      <c r="E655">
        <f>SUM('_motor'!$A$326:$CB$326)</f>
      </c>
      <c r="F655">
        <f>SUM('_motor'!BR$257:BR$336)</f>
      </c>
      <c r="G655">
        <f>SUM('_motor'!$A$162:$CB$162)</f>
      </c>
      <c r="H655">
        <f>SUM('_motor'!BR$93:BR$172)</f>
      </c>
      <c r="I655">
        <f>SUM('_motor'!$A$572:$CB$572)</f>
      </c>
      <c r="J655">
        <f>SUM('_motor'!BR$503:BR$582)</f>
      </c>
      <c r="K655">
        <f>SUM('_motor'!$A$244:$CB$244)</f>
      </c>
      <c r="L655">
        <f>SUM('_motor'!$A$408:$CB$408)</f>
      </c>
      <c r="M655">
        <f>IF($B655=0,"",SUMPRODUCT('_motor'!$B$586:$B$665*('_motor'!$C$586:$C$665&gt;$C655))+(SUMPRODUCT('_motor'!$B$586:$B$665*('_motor'!$C$586:$C$665=$C655))+1)/2)</f>
        <v/>
      </c>
      <c r="N655">
        <f>IF($B655=0,"",SUMPRODUCT('_motor'!$B$586:$B$665*('_motor'!$K$586:$K$665&gt;$K655))+(SUMPRODUCT('_motor'!$B$586:$B$665*('_motor'!$K$586:$K$665=$K655))+1)/2)</f>
        <v/>
      </c>
      <c r="O655">
        <f>IF($B655=0,"",SUMPRODUCT('_motor'!$B$586:$B$665*('_motor'!$E$586:$E$665&gt;$E655))+(SUMPRODUCT('_motor'!$B$586:$B$665*('_motor'!$E$586:$E$665=$E655))+1)/2)</f>
        <v/>
      </c>
      <c r="P655">
        <f>IF($B655=0,"",SUMPRODUCT('_motor'!$B$586:$B$665*('_motor'!$L$586:$L$665&gt;$L655))+(SUMPRODUCT('_motor'!$B$586:$B$665*('_motor'!$L$586:$L$665=$L655))+1)/2)</f>
        <v/>
      </c>
    </row>
    <row r="656" spans="1:16" x14ac:dyDescent="0.2">
      <c r="A656">
        <f>'02 · Variables'!$B$77</f>
      </c>
      <c r="B656">
        <f>IF('02 · Variables'!$C$77&lt;&gt;"",1,0)</f>
      </c>
      <c r="C656">
        <f>SUM('_motor'!$A$81:$CB$81)</f>
      </c>
      <c r="D656">
        <f>SUM('_motor'!BS$11:BS$90)</f>
      </c>
      <c r="E656">
        <f>SUM('_motor'!$A$327:$CB$327)</f>
      </c>
      <c r="F656">
        <f>SUM('_motor'!BS$257:BS$336)</f>
      </c>
      <c r="G656">
        <f>SUM('_motor'!$A$163:$CB$163)</f>
      </c>
      <c r="H656">
        <f>SUM('_motor'!BS$93:BS$172)</f>
      </c>
      <c r="I656">
        <f>SUM('_motor'!$A$573:$CB$573)</f>
      </c>
      <c r="J656">
        <f>SUM('_motor'!BS$503:BS$582)</f>
      </c>
      <c r="K656">
        <f>SUM('_motor'!$A$245:$CB$245)</f>
      </c>
      <c r="L656">
        <f>SUM('_motor'!$A$409:$CB$409)</f>
      </c>
      <c r="M656">
        <f>IF($B656=0,"",SUMPRODUCT('_motor'!$B$586:$B$665*('_motor'!$C$586:$C$665&gt;$C656))+(SUMPRODUCT('_motor'!$B$586:$B$665*('_motor'!$C$586:$C$665=$C656))+1)/2)</f>
        <v/>
      </c>
      <c r="N656">
        <f>IF($B656=0,"",SUMPRODUCT('_motor'!$B$586:$B$665*('_motor'!$K$586:$K$665&gt;$K656))+(SUMPRODUCT('_motor'!$B$586:$B$665*('_motor'!$K$586:$K$665=$K656))+1)/2)</f>
        <v/>
      </c>
      <c r="O656">
        <f>IF($B656=0,"",SUMPRODUCT('_motor'!$B$586:$B$665*('_motor'!$E$586:$E$665&gt;$E656))+(SUMPRODUCT('_motor'!$B$586:$B$665*('_motor'!$E$586:$E$665=$E656))+1)/2)</f>
        <v/>
      </c>
      <c r="P656">
        <f>IF($B656=0,"",SUMPRODUCT('_motor'!$B$586:$B$665*('_motor'!$L$586:$L$665&gt;$L656))+(SUMPRODUCT('_motor'!$B$586:$B$665*('_motor'!$L$586:$L$665=$L656))+1)/2)</f>
        <v/>
      </c>
    </row>
    <row r="657" spans="1:16" x14ac:dyDescent="0.2">
      <c r="A657">
        <f>'02 · Variables'!$B$78</f>
      </c>
      <c r="B657">
        <f>IF('02 · Variables'!$C$78&lt;&gt;"",1,0)</f>
      </c>
      <c r="C657">
        <f>SUM('_motor'!$A$82:$CB$82)</f>
      </c>
      <c r="D657">
        <f>SUM('_motor'!BT$11:BT$90)</f>
      </c>
      <c r="E657">
        <f>SUM('_motor'!$A$328:$CB$328)</f>
      </c>
      <c r="F657">
        <f>SUM('_motor'!BT$257:BT$336)</f>
      </c>
      <c r="G657">
        <f>SUM('_motor'!$A$164:$CB$164)</f>
      </c>
      <c r="H657">
        <f>SUM('_motor'!BT$93:BT$172)</f>
      </c>
      <c r="I657">
        <f>SUM('_motor'!$A$574:$CB$574)</f>
      </c>
      <c r="J657">
        <f>SUM('_motor'!BT$503:BT$582)</f>
      </c>
      <c r="K657">
        <f>SUM('_motor'!$A$246:$CB$246)</f>
      </c>
      <c r="L657">
        <f>SUM('_motor'!$A$410:$CB$410)</f>
      </c>
      <c r="M657">
        <f>IF($B657=0,"",SUMPRODUCT('_motor'!$B$586:$B$665*('_motor'!$C$586:$C$665&gt;$C657))+(SUMPRODUCT('_motor'!$B$586:$B$665*('_motor'!$C$586:$C$665=$C657))+1)/2)</f>
        <v/>
      </c>
      <c r="N657">
        <f>IF($B657=0,"",SUMPRODUCT('_motor'!$B$586:$B$665*('_motor'!$K$586:$K$665&gt;$K657))+(SUMPRODUCT('_motor'!$B$586:$B$665*('_motor'!$K$586:$K$665=$K657))+1)/2)</f>
        <v/>
      </c>
      <c r="O657">
        <f>IF($B657=0,"",SUMPRODUCT('_motor'!$B$586:$B$665*('_motor'!$E$586:$E$665&gt;$E657))+(SUMPRODUCT('_motor'!$B$586:$B$665*('_motor'!$E$586:$E$665=$E657))+1)/2)</f>
        <v/>
      </c>
      <c r="P657">
        <f>IF($B657=0,"",SUMPRODUCT('_motor'!$B$586:$B$665*('_motor'!$L$586:$L$665&gt;$L657))+(SUMPRODUCT('_motor'!$B$586:$B$665*('_motor'!$L$586:$L$665=$L657))+1)/2)</f>
        <v/>
      </c>
    </row>
    <row r="658" spans="1:16" x14ac:dyDescent="0.2">
      <c r="A658">
        <f>'02 · Variables'!$B$79</f>
      </c>
      <c r="B658">
        <f>IF('02 · Variables'!$C$79&lt;&gt;"",1,0)</f>
      </c>
      <c r="C658">
        <f>SUM('_motor'!$A$83:$CB$83)</f>
      </c>
      <c r="D658">
        <f>SUM('_motor'!BU$11:BU$90)</f>
      </c>
      <c r="E658">
        <f>SUM('_motor'!$A$329:$CB$329)</f>
      </c>
      <c r="F658">
        <f>SUM('_motor'!BU$257:BU$336)</f>
      </c>
      <c r="G658">
        <f>SUM('_motor'!$A$165:$CB$165)</f>
      </c>
      <c r="H658">
        <f>SUM('_motor'!BU$93:BU$172)</f>
      </c>
      <c r="I658">
        <f>SUM('_motor'!$A$575:$CB$575)</f>
      </c>
      <c r="J658">
        <f>SUM('_motor'!BU$503:BU$582)</f>
      </c>
      <c r="K658">
        <f>SUM('_motor'!$A$247:$CB$247)</f>
      </c>
      <c r="L658">
        <f>SUM('_motor'!$A$411:$CB$411)</f>
      </c>
      <c r="M658">
        <f>IF($B658=0,"",SUMPRODUCT('_motor'!$B$586:$B$665*('_motor'!$C$586:$C$665&gt;$C658))+(SUMPRODUCT('_motor'!$B$586:$B$665*('_motor'!$C$586:$C$665=$C658))+1)/2)</f>
        <v/>
      </c>
      <c r="N658">
        <f>IF($B658=0,"",SUMPRODUCT('_motor'!$B$586:$B$665*('_motor'!$K$586:$K$665&gt;$K658))+(SUMPRODUCT('_motor'!$B$586:$B$665*('_motor'!$K$586:$K$665=$K658))+1)/2)</f>
        <v/>
      </c>
      <c r="O658">
        <f>IF($B658=0,"",SUMPRODUCT('_motor'!$B$586:$B$665*('_motor'!$E$586:$E$665&gt;$E658))+(SUMPRODUCT('_motor'!$B$586:$B$665*('_motor'!$E$586:$E$665=$E658))+1)/2)</f>
        <v/>
      </c>
      <c r="P658">
        <f>IF($B658=0,"",SUMPRODUCT('_motor'!$B$586:$B$665*('_motor'!$L$586:$L$665&gt;$L658))+(SUMPRODUCT('_motor'!$B$586:$B$665*('_motor'!$L$586:$L$665=$L658))+1)/2)</f>
        <v/>
      </c>
    </row>
    <row r="659" spans="1:16" x14ac:dyDescent="0.2">
      <c r="A659">
        <f>'02 · Variables'!$B$80</f>
      </c>
      <c r="B659">
        <f>IF('02 · Variables'!$C$80&lt;&gt;"",1,0)</f>
      </c>
      <c r="C659">
        <f>SUM('_motor'!$A$84:$CB$84)</f>
      </c>
      <c r="D659">
        <f>SUM('_motor'!BV$11:BV$90)</f>
      </c>
      <c r="E659">
        <f>SUM('_motor'!$A$330:$CB$330)</f>
      </c>
      <c r="F659">
        <f>SUM('_motor'!BV$257:BV$336)</f>
      </c>
      <c r="G659">
        <f>SUM('_motor'!$A$166:$CB$166)</f>
      </c>
      <c r="H659">
        <f>SUM('_motor'!BV$93:BV$172)</f>
      </c>
      <c r="I659">
        <f>SUM('_motor'!$A$576:$CB$576)</f>
      </c>
      <c r="J659">
        <f>SUM('_motor'!BV$503:BV$582)</f>
      </c>
      <c r="K659">
        <f>SUM('_motor'!$A$248:$CB$248)</f>
      </c>
      <c r="L659">
        <f>SUM('_motor'!$A$412:$CB$412)</f>
      </c>
      <c r="M659">
        <f>IF($B659=0,"",SUMPRODUCT('_motor'!$B$586:$B$665*('_motor'!$C$586:$C$665&gt;$C659))+(SUMPRODUCT('_motor'!$B$586:$B$665*('_motor'!$C$586:$C$665=$C659))+1)/2)</f>
        <v/>
      </c>
      <c r="N659">
        <f>IF($B659=0,"",SUMPRODUCT('_motor'!$B$586:$B$665*('_motor'!$K$586:$K$665&gt;$K659))+(SUMPRODUCT('_motor'!$B$586:$B$665*('_motor'!$K$586:$K$665=$K659))+1)/2)</f>
        <v/>
      </c>
      <c r="O659">
        <f>IF($B659=0,"",SUMPRODUCT('_motor'!$B$586:$B$665*('_motor'!$E$586:$E$665&gt;$E659))+(SUMPRODUCT('_motor'!$B$586:$B$665*('_motor'!$E$586:$E$665=$E659))+1)/2)</f>
        <v/>
      </c>
      <c r="P659">
        <f>IF($B659=0,"",SUMPRODUCT('_motor'!$B$586:$B$665*('_motor'!$L$586:$L$665&gt;$L659))+(SUMPRODUCT('_motor'!$B$586:$B$665*('_motor'!$L$586:$L$665=$L659))+1)/2)</f>
        <v/>
      </c>
    </row>
    <row r="660" spans="1:16" x14ac:dyDescent="0.2">
      <c r="A660">
        <f>'02 · Variables'!$B$81</f>
      </c>
      <c r="B660">
        <f>IF('02 · Variables'!$C$81&lt;&gt;"",1,0)</f>
      </c>
      <c r="C660">
        <f>SUM('_motor'!$A$85:$CB$85)</f>
      </c>
      <c r="D660">
        <f>SUM('_motor'!BW$11:BW$90)</f>
      </c>
      <c r="E660">
        <f>SUM('_motor'!$A$331:$CB$331)</f>
      </c>
      <c r="F660">
        <f>SUM('_motor'!BW$257:BW$336)</f>
      </c>
      <c r="G660">
        <f>SUM('_motor'!$A$167:$CB$167)</f>
      </c>
      <c r="H660">
        <f>SUM('_motor'!BW$93:BW$172)</f>
      </c>
      <c r="I660">
        <f>SUM('_motor'!$A$577:$CB$577)</f>
      </c>
      <c r="J660">
        <f>SUM('_motor'!BW$503:BW$582)</f>
      </c>
      <c r="K660">
        <f>SUM('_motor'!$A$249:$CB$249)</f>
      </c>
      <c r="L660">
        <f>SUM('_motor'!$A$413:$CB$413)</f>
      </c>
      <c r="M660">
        <f>IF($B660=0,"",SUMPRODUCT('_motor'!$B$586:$B$665*('_motor'!$C$586:$C$665&gt;$C660))+(SUMPRODUCT('_motor'!$B$586:$B$665*('_motor'!$C$586:$C$665=$C660))+1)/2)</f>
        <v/>
      </c>
      <c r="N660">
        <f>IF($B660=0,"",SUMPRODUCT('_motor'!$B$586:$B$665*('_motor'!$K$586:$K$665&gt;$K660))+(SUMPRODUCT('_motor'!$B$586:$B$665*('_motor'!$K$586:$K$665=$K660))+1)/2)</f>
        <v/>
      </c>
      <c r="O660">
        <f>IF($B660=0,"",SUMPRODUCT('_motor'!$B$586:$B$665*('_motor'!$E$586:$E$665&gt;$E660))+(SUMPRODUCT('_motor'!$B$586:$B$665*('_motor'!$E$586:$E$665=$E660))+1)/2)</f>
        <v/>
      </c>
      <c r="P660">
        <f>IF($B660=0,"",SUMPRODUCT('_motor'!$B$586:$B$665*('_motor'!$L$586:$L$665&gt;$L660))+(SUMPRODUCT('_motor'!$B$586:$B$665*('_motor'!$L$586:$L$665=$L660))+1)/2)</f>
        <v/>
      </c>
    </row>
    <row r="661" spans="1:16" x14ac:dyDescent="0.2">
      <c r="A661">
        <f>'02 · Variables'!$B$82</f>
      </c>
      <c r="B661">
        <f>IF('02 · Variables'!$C$82&lt;&gt;"",1,0)</f>
      </c>
      <c r="C661">
        <f>SUM('_motor'!$A$86:$CB$86)</f>
      </c>
      <c r="D661">
        <f>SUM('_motor'!BX$11:BX$90)</f>
      </c>
      <c r="E661">
        <f>SUM('_motor'!$A$332:$CB$332)</f>
      </c>
      <c r="F661">
        <f>SUM('_motor'!BX$257:BX$336)</f>
      </c>
      <c r="G661">
        <f>SUM('_motor'!$A$168:$CB$168)</f>
      </c>
      <c r="H661">
        <f>SUM('_motor'!BX$93:BX$172)</f>
      </c>
      <c r="I661">
        <f>SUM('_motor'!$A$578:$CB$578)</f>
      </c>
      <c r="J661">
        <f>SUM('_motor'!BX$503:BX$582)</f>
      </c>
      <c r="K661">
        <f>SUM('_motor'!$A$250:$CB$250)</f>
      </c>
      <c r="L661">
        <f>SUM('_motor'!$A$414:$CB$414)</f>
      </c>
      <c r="M661">
        <f>IF($B661=0,"",SUMPRODUCT('_motor'!$B$586:$B$665*('_motor'!$C$586:$C$665&gt;$C661))+(SUMPRODUCT('_motor'!$B$586:$B$665*('_motor'!$C$586:$C$665=$C661))+1)/2)</f>
        <v/>
      </c>
      <c r="N661">
        <f>IF($B661=0,"",SUMPRODUCT('_motor'!$B$586:$B$665*('_motor'!$K$586:$K$665&gt;$K661))+(SUMPRODUCT('_motor'!$B$586:$B$665*('_motor'!$K$586:$K$665=$K661))+1)/2)</f>
        <v/>
      </c>
      <c r="O661">
        <f>IF($B661=0,"",SUMPRODUCT('_motor'!$B$586:$B$665*('_motor'!$E$586:$E$665&gt;$E661))+(SUMPRODUCT('_motor'!$B$586:$B$665*('_motor'!$E$586:$E$665=$E661))+1)/2)</f>
        <v/>
      </c>
      <c r="P661">
        <f>IF($B661=0,"",SUMPRODUCT('_motor'!$B$586:$B$665*('_motor'!$L$586:$L$665&gt;$L661))+(SUMPRODUCT('_motor'!$B$586:$B$665*('_motor'!$L$586:$L$665=$L661))+1)/2)</f>
        <v/>
      </c>
    </row>
    <row r="662" spans="1:16" x14ac:dyDescent="0.2">
      <c r="A662">
        <f>'02 · Variables'!$B$83</f>
      </c>
      <c r="B662">
        <f>IF('02 · Variables'!$C$83&lt;&gt;"",1,0)</f>
      </c>
      <c r="C662">
        <f>SUM('_motor'!$A$87:$CB$87)</f>
      </c>
      <c r="D662">
        <f>SUM('_motor'!BY$11:BY$90)</f>
      </c>
      <c r="E662">
        <f>SUM('_motor'!$A$333:$CB$333)</f>
      </c>
      <c r="F662">
        <f>SUM('_motor'!BY$257:BY$336)</f>
      </c>
      <c r="G662">
        <f>SUM('_motor'!$A$169:$CB$169)</f>
      </c>
      <c r="H662">
        <f>SUM('_motor'!BY$93:BY$172)</f>
      </c>
      <c r="I662">
        <f>SUM('_motor'!$A$579:$CB$579)</f>
      </c>
      <c r="J662">
        <f>SUM('_motor'!BY$503:BY$582)</f>
      </c>
      <c r="K662">
        <f>SUM('_motor'!$A$251:$CB$251)</f>
      </c>
      <c r="L662">
        <f>SUM('_motor'!$A$415:$CB$415)</f>
      </c>
      <c r="M662">
        <f>IF($B662=0,"",SUMPRODUCT('_motor'!$B$586:$B$665*('_motor'!$C$586:$C$665&gt;$C662))+(SUMPRODUCT('_motor'!$B$586:$B$665*('_motor'!$C$586:$C$665=$C662))+1)/2)</f>
        <v/>
      </c>
      <c r="N662">
        <f>IF($B662=0,"",SUMPRODUCT('_motor'!$B$586:$B$665*('_motor'!$K$586:$K$665&gt;$K662))+(SUMPRODUCT('_motor'!$B$586:$B$665*('_motor'!$K$586:$K$665=$K662))+1)/2)</f>
        <v/>
      </c>
      <c r="O662">
        <f>IF($B662=0,"",SUMPRODUCT('_motor'!$B$586:$B$665*('_motor'!$E$586:$E$665&gt;$E662))+(SUMPRODUCT('_motor'!$B$586:$B$665*('_motor'!$E$586:$E$665=$E662))+1)/2)</f>
        <v/>
      </c>
      <c r="P662">
        <f>IF($B662=0,"",SUMPRODUCT('_motor'!$B$586:$B$665*('_motor'!$L$586:$L$665&gt;$L662))+(SUMPRODUCT('_motor'!$B$586:$B$665*('_motor'!$L$586:$L$665=$L662))+1)/2)</f>
        <v/>
      </c>
    </row>
    <row r="663" spans="1:16" x14ac:dyDescent="0.2">
      <c r="A663">
        <f>'02 · Variables'!$B$84</f>
      </c>
      <c r="B663">
        <f>IF('02 · Variables'!$C$84&lt;&gt;"",1,0)</f>
      </c>
      <c r="C663">
        <f>SUM('_motor'!$A$88:$CB$88)</f>
      </c>
      <c r="D663">
        <f>SUM('_motor'!BZ$11:BZ$90)</f>
      </c>
      <c r="E663">
        <f>SUM('_motor'!$A$334:$CB$334)</f>
      </c>
      <c r="F663">
        <f>SUM('_motor'!BZ$257:BZ$336)</f>
      </c>
      <c r="G663">
        <f>SUM('_motor'!$A$170:$CB$170)</f>
      </c>
      <c r="H663">
        <f>SUM('_motor'!BZ$93:BZ$172)</f>
      </c>
      <c r="I663">
        <f>SUM('_motor'!$A$580:$CB$580)</f>
      </c>
      <c r="J663">
        <f>SUM('_motor'!BZ$503:BZ$582)</f>
      </c>
      <c r="K663">
        <f>SUM('_motor'!$A$252:$CB$252)</f>
      </c>
      <c r="L663">
        <f>SUM('_motor'!$A$416:$CB$416)</f>
      </c>
      <c r="M663">
        <f>IF($B663=0,"",SUMPRODUCT('_motor'!$B$586:$B$665*('_motor'!$C$586:$C$665&gt;$C663))+(SUMPRODUCT('_motor'!$B$586:$B$665*('_motor'!$C$586:$C$665=$C663))+1)/2)</f>
        <v/>
      </c>
      <c r="N663">
        <f>IF($B663=0,"",SUMPRODUCT('_motor'!$B$586:$B$665*('_motor'!$K$586:$K$665&gt;$K663))+(SUMPRODUCT('_motor'!$B$586:$B$665*('_motor'!$K$586:$K$665=$K663))+1)/2)</f>
        <v/>
      </c>
      <c r="O663">
        <f>IF($B663=0,"",SUMPRODUCT('_motor'!$B$586:$B$665*('_motor'!$E$586:$E$665&gt;$E663))+(SUMPRODUCT('_motor'!$B$586:$B$665*('_motor'!$E$586:$E$665=$E663))+1)/2)</f>
        <v/>
      </c>
      <c r="P663">
        <f>IF($B663=0,"",SUMPRODUCT('_motor'!$B$586:$B$665*('_motor'!$L$586:$L$665&gt;$L663))+(SUMPRODUCT('_motor'!$B$586:$B$665*('_motor'!$L$586:$L$665=$L663))+1)/2)</f>
        <v/>
      </c>
    </row>
    <row r="664" spans="1:16" x14ac:dyDescent="0.2">
      <c r="A664">
        <f>'02 · Variables'!$B$85</f>
      </c>
      <c r="B664">
        <f>IF('02 · Variables'!$C$85&lt;&gt;"",1,0)</f>
      </c>
      <c r="C664">
        <f>SUM('_motor'!$A$89:$CB$89)</f>
      </c>
      <c r="D664">
        <f>SUM('_motor'!CA$11:CA$90)</f>
      </c>
      <c r="E664">
        <f>SUM('_motor'!$A$335:$CB$335)</f>
      </c>
      <c r="F664">
        <f>SUM('_motor'!CA$257:CA$336)</f>
      </c>
      <c r="G664">
        <f>SUM('_motor'!$A$171:$CB$171)</f>
      </c>
      <c r="H664">
        <f>SUM('_motor'!CA$93:CA$172)</f>
      </c>
      <c r="I664">
        <f>SUM('_motor'!$A$581:$CB$581)</f>
      </c>
      <c r="J664">
        <f>SUM('_motor'!CA$503:CA$582)</f>
      </c>
      <c r="K664">
        <f>SUM('_motor'!$A$253:$CB$253)</f>
      </c>
      <c r="L664">
        <f>SUM('_motor'!$A$417:$CB$417)</f>
      </c>
      <c r="M664">
        <f>IF($B664=0,"",SUMPRODUCT('_motor'!$B$586:$B$665*('_motor'!$C$586:$C$665&gt;$C664))+(SUMPRODUCT('_motor'!$B$586:$B$665*('_motor'!$C$586:$C$665=$C664))+1)/2)</f>
        <v/>
      </c>
      <c r="N664">
        <f>IF($B664=0,"",SUMPRODUCT('_motor'!$B$586:$B$665*('_motor'!$K$586:$K$665&gt;$K664))+(SUMPRODUCT('_motor'!$B$586:$B$665*('_motor'!$K$586:$K$665=$K664))+1)/2)</f>
        <v/>
      </c>
      <c r="O664">
        <f>IF($B664=0,"",SUMPRODUCT('_motor'!$B$586:$B$665*('_motor'!$E$586:$E$665&gt;$E664))+(SUMPRODUCT('_motor'!$B$586:$B$665*('_motor'!$E$586:$E$665=$E664))+1)/2)</f>
        <v/>
      </c>
      <c r="P664">
        <f>IF($B664=0,"",SUMPRODUCT('_motor'!$B$586:$B$665*('_motor'!$L$586:$L$665&gt;$L664))+(SUMPRODUCT('_motor'!$B$586:$B$665*('_motor'!$L$586:$L$665=$L664))+1)/2)</f>
        <v/>
      </c>
    </row>
    <row r="665" spans="1:16" x14ac:dyDescent="0.2">
      <c r="A665">
        <f>'02 · Variables'!$B$86</f>
      </c>
      <c r="B665">
        <f>IF('02 · Variables'!$C$86&lt;&gt;"",1,0)</f>
      </c>
      <c r="C665">
        <f>SUM('_motor'!$A$90:$CB$90)</f>
      </c>
      <c r="D665">
        <f>SUM('_motor'!CB$11:CB$90)</f>
      </c>
      <c r="E665">
        <f>SUM('_motor'!$A$336:$CB$336)</f>
      </c>
      <c r="F665">
        <f>SUM('_motor'!CB$257:CB$336)</f>
      </c>
      <c r="G665">
        <f>SUM('_motor'!$A$172:$CB$172)</f>
      </c>
      <c r="H665">
        <f>SUM('_motor'!CB$93:CB$172)</f>
      </c>
      <c r="I665">
        <f>SUM('_motor'!$A$582:$CB$582)</f>
      </c>
      <c r="J665">
        <f>SUM('_motor'!CB$503:CB$582)</f>
      </c>
      <c r="K665">
        <f>SUM('_motor'!$A$254:$CB$254)</f>
      </c>
      <c r="L665">
        <f>SUM('_motor'!$A$418:$CB$418)</f>
      </c>
      <c r="M665">
        <f>IF($B665=0,"",SUMPRODUCT('_motor'!$B$586:$B$665*('_motor'!$C$586:$C$665&gt;$C665))+(SUMPRODUCT('_motor'!$B$586:$B$665*('_motor'!$C$586:$C$665=$C665))+1)/2)</f>
        <v/>
      </c>
      <c r="N665">
        <f>IF($B665=0,"",SUMPRODUCT('_motor'!$B$586:$B$665*('_motor'!$K$586:$K$665&gt;$K665))+(SUMPRODUCT('_motor'!$B$586:$B$665*('_motor'!$K$586:$K$665=$K665))+1)/2)</f>
        <v/>
      </c>
      <c r="O665">
        <f>IF($B665=0,"",SUMPRODUCT('_motor'!$B$586:$B$665*('_motor'!$E$586:$E$665&gt;$E665))+(SUMPRODUCT('_motor'!$B$586:$B$665*('_motor'!$E$586:$E$665=$E665))+1)/2)</f>
        <v/>
      </c>
      <c r="P665">
        <f>IF($B665=0,"",SUMPRODUCT('_motor'!$B$586:$B$665*('_motor'!$L$586:$L$665&gt;$L665))+(SUMPRODUCT('_motor'!$B$586:$B$665*('_motor'!$L$586:$L$665=$L665))+1)/2)</f>
        <v/>
      </c>
    </row>
    <row r="668" spans="1:16" x14ac:dyDescent="0.2">
      <c r="A668" s="53" t="s">
        <v>611</v>
      </c>
      <c r="B668">
        <f>IF(SUM('_motor'!$B$586:$B$665)=0,0,SUMPRODUCT('_motor'!$B$586:$B$665,'_motor'!$C$586:$C$665)/SUM('_motor'!$B$586:$B$665))</f>
      </c>
    </row>
    <row r="669" spans="1:16" x14ac:dyDescent="0.2">
      <c r="A669" s="53" t="s">
        <v>612</v>
      </c>
      <c r="B669">
        <f>IF(SUM('_motor'!$B$586:$B$665)=0,0,SUMPRODUCT('_motor'!$B$586:$B$665,'_motor'!$E$586:$E$665)/SUM('_motor'!$B$586:$B$665))</f>
      </c>
    </row>
    <row r="670" spans="1:16" x14ac:dyDescent="0.2">
      <c r="A670" s="53" t="s">
        <v>613</v>
      </c>
      <c r="B670">
        <f>IF(SUM('_motor'!$B$586:$B$665)=0,0,SUMPRODUCT('_motor'!$B$586:$B$665,'_motor'!$G$586:$G$665)/SUM('_motor'!$B$586:$B$665))</f>
      </c>
    </row>
    <row r="671" spans="1:16" x14ac:dyDescent="0.2">
      <c r="A671" s="53" t="s">
        <v>614</v>
      </c>
      <c r="B671">
        <f>IF(SUM('_motor'!$B$586:$B$665)=0,0,SUMPRODUCT('_motor'!$B$586:$B$665,'_motor'!$I$586:$I$665)/SUM('_motor'!$B$586:$B$665))</f>
      </c>
    </row>
    <row r="672" spans="1:16" x14ac:dyDescent="0.2">
      <c r="A672" s="53" t="s">
        <v>615</v>
      </c>
      <c r="B672">
        <f>SUMPRODUCT('_motor'!$B$586:$B$665,'_motor'!$C$586:$C$665)</f>
      </c>
    </row>
    <row r="673" spans="1:2" x14ac:dyDescent="0.2">
      <c r="A673" s="53" t="s">
        <v>616</v>
      </c>
      <c r="B673">
        <f>SUMPRODUCT('_motor'!$B$586:$B$665,'_motor'!$E$586:$E$665)</f>
      </c>
    </row>
    <row r="674" spans="1:2" x14ac:dyDescent="0.2">
      <c r="A674" s="53" t="s">
        <v>617</v>
      </c>
      <c r="B674">
        <f>SUMPRODUCT('_motor'!$B$586:$B$665,'_motor'!$G$586:$G$665)</f>
      </c>
    </row>
    <row r="675" spans="1:2" x14ac:dyDescent="0.2">
      <c r="A675" s="53" t="s">
        <v>618</v>
      </c>
      <c r="B675">
        <f>SUMPRODUCT('_motor'!$B$586:$B$665,'_motor'!$I$586:$I$665)</f>
      </c>
    </row>
    <row r="676" spans="1:2" x14ac:dyDescent="0.2">
      <c r="A676" s="53" t="s">
        <v>619</v>
      </c>
      <c r="B676">
        <f>$B$8*($B$688-$B$689)</f>
      </c>
    </row>
    <row r="677" spans="1:2" x14ac:dyDescent="0.2">
      <c r="A677" s="53" t="s">
        <v>620</v>
      </c>
      <c r="B677">
        <f>$B$8*($B$690-$B$691)</f>
      </c>
    </row>
    <row r="678" spans="1:2" x14ac:dyDescent="0.2">
      <c r="A678" s="53" t="s">
        <v>621</v>
      </c>
      <c r="B678">
        <f>$B$8*($B$692-$B$693)</f>
      </c>
    </row>
    <row r="679" spans="1:2" x14ac:dyDescent="0.2">
      <c r="A679" s="53" t="s">
        <v>622</v>
      </c>
      <c r="B679">
        <f>$B$8*($B$694-$B$695)</f>
      </c>
    </row>
    <row r="681" spans="1:2" x14ac:dyDescent="0.2">
      <c r="A681" s="53" t="s">
        <v>623</v>
      </c>
      <c r="B681">
        <f>SUMPRODUCT('_motor'!$B$586:$B$665*('_motor'!$M$586:$M$665&lt;&gt;'_motor'!$N$586:$N$665))</f>
      </c>
    </row>
    <row r="682" spans="1:2" x14ac:dyDescent="0.2">
      <c r="A682" s="53" t="s">
        <v>624</v>
      </c>
      <c r="B682">
        <f>SUMPRODUCT('_motor'!$B$586:$B$665*('_motor'!$N$586:$N$665&lt;&gt;'_motor'!$O$586:$O$665))</f>
      </c>
    </row>
    <row r="683" spans="1:2" x14ac:dyDescent="0.2">
      <c r="A683" s="53" t="s">
        <v>625</v>
      </c>
      <c r="B683">
        <f>SUMPRODUCT('_motor'!$B$586:$B$665*('_motor'!$O$586:$O$665&lt;&gt;'_motor'!$P$586:$P$665))</f>
      </c>
    </row>
    <row r="688" spans="1:2" x14ac:dyDescent="0.2">
      <c r="A688" s="53" t="s">
        <v>626</v>
      </c>
      <c r="B688">
        <f t="array" ref="B688">IFERROR(MAX(IF('_motor'!$B$586:$B$665=1,'_motor'!$C$586:$C$665)),0)</f>
      </c>
    </row>
    <row r="689" spans="1:2" x14ac:dyDescent="0.2">
      <c r="A689" s="53" t="s">
        <v>627</v>
      </c>
      <c r="B689">
        <f t="array" ref="B689">IFERROR(MIN(IF('_motor'!$B$586:$B$665=1,'_motor'!$C$586:$C$665)),0)</f>
      </c>
    </row>
    <row r="690" spans="1:2" x14ac:dyDescent="0.2">
      <c r="A690" s="53" t="s">
        <v>628</v>
      </c>
      <c r="B690">
        <f t="array" ref="B690">IFERROR(MAX(IF('_motor'!$B$586:$B$665=1,'_motor'!$E$586:$E$665)),0)</f>
      </c>
    </row>
    <row r="691" spans="1:2" x14ac:dyDescent="0.2">
      <c r="A691" s="53" t="s">
        <v>629</v>
      </c>
      <c r="B691">
        <f t="array" ref="B691">IFERROR(MIN(IF('_motor'!$B$586:$B$665=1,'_motor'!$E$586:$E$665)),0)</f>
      </c>
    </row>
    <row r="692" spans="1:2" x14ac:dyDescent="0.2">
      <c r="A692" s="53" t="s">
        <v>630</v>
      </c>
      <c r="B692">
        <f t="array" ref="B692">IFERROR(MAX(IF('_motor'!$B$586:$B$665=1,'_motor'!$G$586:$G$665)),0)</f>
      </c>
    </row>
    <row r="693" spans="1:2" x14ac:dyDescent="0.2">
      <c r="A693" s="53" t="s">
        <v>631</v>
      </c>
      <c r="B693">
        <f t="array" ref="B693">IFERROR(MIN(IF('_motor'!$B$586:$B$665=1,'_motor'!$G$586:$G$665)),0)</f>
      </c>
    </row>
    <row r="694" spans="1:2" x14ac:dyDescent="0.2">
      <c r="A694" s="53" t="s">
        <v>632</v>
      </c>
      <c r="B694">
        <f t="array" ref="B694">IFERROR(MAX(IF('_motor'!$B$586:$B$665=1,'_motor'!$I$586:$I$665)),0)</f>
      </c>
    </row>
    <row r="695" spans="1:2" x14ac:dyDescent="0.2">
      <c r="A695" s="53" t="s">
        <v>633</v>
      </c>
      <c r="B695">
        <f t="array" ref="B695">IFERROR(MIN(IF('_motor'!$B$586:$B$665=1,'_motor'!$I$586:$I$665)),0)</f>
      </c>
    </row>
  </sheetData>
  <sheetProtection password="94C5" sheet="1" formatCells="0" formatColumns="0" formatRows="0" insertRows="0"/>
  <pageMargins left="0.75" right="0.75" top="1" bottom="1" header="0.511811023622047" footer="0.511811023622047"/>
  <pageSetup paperSize="9" orientation="portrait" horizontalDpi="300" verticalDpi="300"/>
</worksheet>
</file>

<file path=xl/worksheets/sheet23.xml><?xml version="1.0" encoding="utf-8"?>
<worksheet xmlns="http://schemas.openxmlformats.org/spreadsheetml/2006/main" xmlns:r="http://schemas.openxmlformats.org/officeDocument/2006/relationships">
  <sheetPr>
    <tabColor rgb="FF0A3D6E"/>
    <pageSetUpPr fitToPage="1"/>
  </sheetPr>
  <dimension ref="A1:H34"/>
  <sheetViews>
    <sheetView showGridLines="0" zoomScaleNormal="100" workbookViewId="0">
      <pane ySplit="2" topLeftCell="A3" activePane="bottomLeft" state="frozen"/>
    </sheetView>
  </sheetViews>
  <sheetFormatPr baseColWidth="10" defaultRowHeight="15"/>
  <cols>
    <col min="1" max="1" width="3" customWidth="1"/>
    <col min="2" max="2" width="22" customWidth="1"/>
    <col min="3" max="3" width="22" customWidth="1"/>
    <col min="4" max="4" width="22" customWidth="1"/>
    <col min="5" max="5" width="22" customWidth="1"/>
    <col min="6" max="6" width="22" customWidth="1"/>
    <col min="7" max="7" width="22" customWidth="1"/>
    <col min="8" max="8" width="14" customWidth="1"/>
  </cols>
  <sheetData>
    <row r="1" ht="30" customHeight="1">
      <c r="A1" s="157"/>
      <c r="B1" s="157" t="inlineStr">
        <is>
          <t xml:space="preserve">MICMAC  ESSENTIALS</t>
        </is>
      </c>
      <c r="C1" s="157"/>
      <c r="D1" s="157"/>
      <c r="E1" s="157"/>
      <c r="F1" s="157"/>
      <c r="G1" s="157"/>
      <c r="H1" s="158" t="inlineStr">
        <is>
          <t xml:space="preserve">Módulo 01 · v1.0</t>
        </is>
      </c>
    </row>
    <row r="2" ht="22" customHeight="1">
      <c r="B2" s="164" t="inlineStr">
        <is>
          <t xml:space="preserve">Descubra qué factores influyen más y cuáles dependen más dentro de un sistema</t>
        </is>
      </c>
    </row>
    <row r="4" ht="36" customHeight="1">
      <c r="B4" s="163">
        <f>IF(Var_N=0,"Bienvenido","Continúe su estudio")</f>
      </c>
    </row>
    <row r="5" ht="24" customHeight="1">
      <c r="B5" s="164">
        <f>IF(Var_N=0,"Le vamos a acompañar en siete pasos. Al final sabrá qué factores mandan en su sistema, cuáles solo reaccionan y cuáles influyen más de lo que nadie imagina.",IF((SUMPRODUCT((ROW('04 · Matriz'!$C$6:$AA$30)-5&lt;=Var_N)*(COLUMN('04 · Matriz'!$C$6:$AA$30)-2&lt;=Var_N)*('04 · Matriz'!$C$6:$AA$30&lt;&gt;""))-Var_N&gt;=Ind_Preguntas),"Su matriz está completa. Puede interpretar el resultado y emitir el informe.","Retome donde lo dejó. La herramienta conserva todo lo que ha escrito."))</f>
      </c>
    </row>
    <row r="7" ht="20" customHeight="1">
      <c r="B7" s="192" t="inlineStr">
        <is>
          <t xml:space="preserve">SU ESTUDIO, AHORA MISMO</t>
        </is>
      </c>
    </row>
    <row r="8" ht="40" customHeight="1">
      <c r="B8" s="189">
        <f>COUNTA('02 · Variables'!$C$7:$C$31)</f>
      </c>
      <c r="D8" s="189">
        <f>IF(Ind_Preguntas=0,0,MAX(0,SUMPRODUCT((ROW('04 · Matriz'!$C$6:$AA$30)-5&lt;=Var_N)*(COLUMN('04 · Matriz'!$C$6:$AA$30)-2&lt;=Var_N)*('04 · Matriz'!$C$6:$AA$30&lt;&gt;""))-Var_N))</f>
      </c>
      <c r="F8" s="190">
        <f>IF(Ind_Preguntas=0,0,MAX(0,SUMPRODUCT((ROW('04 · Matriz'!$C$6:$AA$30)-5&lt;=Var_N)*(COLUMN('04 · Matriz'!$C$6:$AA$30)-2&lt;=Var_N)*('04 · Matriz'!$C$6:$AA$30&lt;&gt;""))-Var_N)/Ind_Preguntas)</f>
      </c>
    </row>
    <row r="9" ht="20" customHeight="1">
      <c r="B9" s="192" t="inlineStr">
        <is>
          <t xml:space="preserve">factores definidos</t>
        </is>
      </c>
      <c r="D9" s="192" t="inlineStr">
        <is>
          <t xml:space="preserve">valoraciones hechas</t>
        </is>
      </c>
      <c r="F9" s="192" t="inlineStr">
        <is>
          <t xml:space="preserve">de la matriz completado</t>
        </is>
      </c>
    </row>
    <row r="11" ht="22" customHeight="1">
      <c r="B11" s="146">
        <f>IF(COUNTA('01 · Encuadre'!$B$10,'01 · Encuadre'!$B$14,'01 · Encuadre'!$B$18,'01 · Encuadre'!$B$22)&lt;4,"● Siguiente: describir el estudio",IF(COUNTA('02 · Variables'!$C$7:$C$31)&lt;8,"● Siguiente: definir los factores del sistema",IF(COUNTA('03 · Criterio'!$D$9:$D$23)&lt;8,"● Siguiente: acordar el criterio del panel",IF(NOT((SUMPRODUCT((ROW('04 · Matriz'!$C$6:$AA$30)-5&lt;=Var_N)*(COLUMN('04 · Matriz'!$C$6:$AA$30)-2&lt;=Var_N)*('04 · Matriz'!$C$6:$AA$30&lt;&gt;""))-Var_N&gt;=Ind_Preguntas)),"● Siguiente: completar la matriz","● Siguiente: interpretar el resultado"))))</f>
      </c>
      <c r="C11" s="145"/>
      <c r="D11" s="145"/>
      <c r="E11" s="145"/>
      <c r="F11" s="145"/>
      <c r="G11" s="145"/>
      <c r="H11" s="145"/>
    </row>
    <row r="12" ht="24" customHeight="1">
      <c r="B12" s="145">
        <f>IF(COUNTA('01 · Encuadre'!$B$10,'01 · Encuadre'!$B$14,'01 · Encuadre'!$B$18,'01 · Encuadre'!$B$22)&lt;4,"Cuatro campos. Cinco minutos.",IF(COUNTA('02 · Variables'!$C$7:$C$31)&lt;8,"Entre 8 y 25 factores. Media hora.",IF(COUNTA('03 · Criterio'!$D$9:$D$23)&lt;8,"Ocho casos que acuerda el panel. Quince minutos.",IF(NOT((SUMPRODUCT((ROW('04 · Matriz'!$C$6:$AA$30)-5&lt;=Var_N)*(COLUMN('04 · Matriz'!$C$6:$AA$30)-2&lt;=Var_N)*('04 · Matriz'!$C$6:$AA$30&lt;&gt;""))-Var_N&gt;=Ind_Preguntas)),"Le faltan "&amp;MAX(0,Ind_Preguntas-(SUMPRODUCT((ROW('04 · Matriz'!$C$6:$AA$30)-5&lt;=Var_N)*(COLUMN('04 · Matriz'!$C$6:$AA$30)-2&lt;=Var_N)*('04 · Matriz'!$C$6:$AA$30&lt;&gt;""))-Var_N))&amp;" valoraciones.","El análisis está listo para leerse."))))</f>
      </c>
      <c r="C12" s="145"/>
      <c r="D12" s="145"/>
      <c r="E12" s="145"/>
      <c r="F12" s="145"/>
      <c r="G12" s="145"/>
      <c r="H12" s="145"/>
    </row>
    <row r="14" ht="34" customHeight="1">
      <c r="B14" s="175">
        <f>IF(Var_N=0,"▶   EMPEZAR","▶   CONTINUAR")</f>
      </c>
      <c r="C14" s="175"/>
      <c r="D14" s="175"/>
    </row>
    <row r="15" ht="20" customHeight="1">
      <c r="B15" s="178" t="inlineStr">
        <is>
          <t xml:space="preserve">Puede moverse libremente entre los pasos. La guía sugiere un orden; no lo impone.</t>
        </is>
      </c>
    </row>
    <row r="17" ht="22" customHeight="1">
      <c r="B17" s="192" t="inlineStr">
        <is>
          <t xml:space="preserve">EL RECORRIDO COMPLETO</t>
        </is>
      </c>
    </row>
    <row r="18" ht="18" customHeight="1">
      <c r="B18" s="185">
        <f>IF(COUNTA('01 · Encuadre'!$B$10,'01 · Encuadre'!$B$14,'01 · Encuadre'!$B$18,'01 · Encuadre'!$B$22)=4,"✓  PASO 1","PASO 1")</f>
      </c>
      <c r="C18" s="185">
        <f>IF(COUNTA('02 · Variables'!$C$7:$C$31)&gt;=8,"✓  PASO 2","PASO 2")</f>
      </c>
      <c r="D18" s="185">
        <f>IF(COUNTA('03 · Criterio'!$D$9:$D$23)=8,"✓  PASO 3","PASO 3")</f>
      </c>
      <c r="E18" s="185">
        <f>IF((SUMPRODUCT((ROW('04 · Matriz'!$C$6:$AA$30)-5&lt;=Var_N)*(COLUMN('04 · Matriz'!$C$6:$AA$30)-2&lt;=Var_N)*('04 · Matriz'!$C$6:$AA$30&lt;&gt;""))-Var_N&gt;=Ind_Preguntas),"✓  PASO 4","PASO 4")</f>
      </c>
      <c r="F18" s="185">
        <f>IF((SUMPRODUCT((ROW('04 · Matriz'!$C$6:$AA$30)-5&lt;=Var_N)*(COLUMN('04 · Matriz'!$C$6:$AA$30)-2&lt;=Var_N)*('04 · Matriz'!$C$6:$AA$30&lt;&gt;""))-Var_N&gt;=Ind_Preguntas),"✓  PASO 5","PASO 5")</f>
      </c>
      <c r="G18" s="185">
        <f>IF((SUMPRODUCT((ROW('04 · Matriz'!$C$6:$AA$30)-5&lt;=Var_N)*(COLUMN('04 · Matriz'!$C$6:$AA$30)-2&lt;=Var_N)*('04 · Matriz'!$C$6:$AA$30&lt;&gt;""))-Var_N&gt;=Ind_Preguntas),"✓  PASO 6","PASO 6")</f>
      </c>
      <c r="H18" s="185">
        <f>IF((SUMPRODUCT((ROW('04 · Matriz'!$C$6:$AA$30)-5&lt;=Var_N)*(COLUMN('04 · Matriz'!$C$6:$AA$30)-2&lt;=Var_N)*('04 · Matriz'!$C$6:$AA$30&lt;&gt;""))-Var_N&gt;=Ind_Preguntas),"✓  PASO 7","PASO 7")</f>
      </c>
    </row>
    <row r="19" ht="22" customHeight="1">
      <c r="B19" s="188" t="inlineStr">
        <is>
          <t xml:space="preserve">Encuadre</t>
        </is>
      </c>
      <c r="C19" s="188" t="inlineStr">
        <is>
          <t xml:space="preserve">Variables</t>
        </is>
      </c>
      <c r="D19" s="188" t="inlineStr">
        <is>
          <t xml:space="preserve">Criterio</t>
        </is>
      </c>
      <c r="E19" s="188" t="inlineStr">
        <is>
          <t xml:space="preserve">Matriz</t>
        </is>
      </c>
      <c r="F19" s="188" t="inlineStr">
        <is>
          <t xml:space="preserve">Resultado</t>
        </is>
      </c>
      <c r="G19" s="188" t="inlineStr">
        <is>
          <t xml:space="preserve">Revisión</t>
        </is>
      </c>
      <c r="H19" s="188" t="inlineStr">
        <is>
          <t xml:space="preserve">Informe</t>
        </is>
      </c>
    </row>
    <row r="20" ht="34" customHeight="1">
      <c r="B20" s="187" t="inlineStr">
        <is>
          <t xml:space="preserve">Qué sistema analiza</t>
        </is>
      </c>
      <c r="C20" s="187" t="inlineStr">
        <is>
          <t xml:space="preserve">Los factores en juego</t>
        </is>
      </c>
      <c r="D20" s="187" t="inlineStr">
        <is>
          <t xml:space="preserve">El acuerdo del panel</t>
        </is>
      </c>
      <c r="E20" s="187" t="inlineStr">
        <is>
          <t xml:space="preserve">Su juicio, celda a celda</t>
        </is>
      </c>
      <c r="F20" s="187" t="inlineStr">
        <is>
          <t xml:space="preserve">Qué influye y qué depende</t>
        </is>
      </c>
      <c r="G20" s="187" t="inlineStr">
        <is>
          <t xml:space="preserve">Qué merece una segunda mirada</t>
        </is>
      </c>
      <c r="H20" s="187" t="inlineStr">
        <is>
          <t xml:space="preserve">El entregable</t>
        </is>
      </c>
    </row>
    <row r="21" ht="18" customHeight="1">
      <c r="B21" s="186" t="inlineStr">
        <is>
          <t xml:space="preserve">5 min</t>
        </is>
      </c>
      <c r="C21" s="186" t="inlineStr">
        <is>
          <t xml:space="preserve">30 min</t>
        </is>
      </c>
      <c r="D21" s="186" t="inlineStr">
        <is>
          <t xml:space="preserve">15 min</t>
        </is>
      </c>
      <c r="E21" s="186" t="inlineStr">
        <is>
          <t xml:space="preserve">60 min</t>
        </is>
      </c>
      <c r="F21" s="186" t="inlineStr">
        <is>
          <t xml:space="preserve">20 min</t>
        </is>
      </c>
      <c r="G21" s="186" t="inlineStr">
        <is>
          <t xml:space="preserve">5 min</t>
        </is>
      </c>
      <c r="H21" s="186" t="inlineStr">
        <is>
          <t xml:space="preserve">10 min</t>
        </is>
      </c>
    </row>
    <row r="23" ht="22" customHeight="1">
      <c r="B23" s="192" t="inlineStr">
        <is>
          <t xml:space="preserve">LO ÚNICO QUE NECESITA</t>
        </is>
      </c>
    </row>
    <row r="24" ht="22" customHeight="1">
      <c r="B24" s="200" t="inlineStr">
        <is>
          <t xml:space="preserve">Una pregunta</t>
        </is>
      </c>
      <c r="D24" s="200" t="inlineStr">
        <is>
          <t xml:space="preserve">Entre 8 y 25 factores</t>
        </is>
      </c>
      <c r="F24" s="200" t="inlineStr">
        <is>
          <t xml:space="preserve">Dos sesiones</t>
        </is>
      </c>
    </row>
    <row r="25" ht="34" customHeight="1">
      <c r="B25" s="203" t="inlineStr">
        <is>
          <t xml:space="preserve">Sobre un sistema que quiera entender de verdad.</t>
        </is>
      </c>
      <c r="D25" s="203" t="inlineStr">
        <is>
          <t xml:space="preserve">Los elementos que lo describen. Nada más.</t>
        </is>
      </c>
      <c r="F25" s="203" t="inlineStr">
        <is>
          <t xml:space="preserve">El estudio completo cabe en unas dos horas.</t>
        </is>
      </c>
    </row>
    <row r="27" ht="22" customHeight="1">
      <c r="B27" s="178" t="inlineStr">
        <is>
          <t xml:space="preserve">Esta herramienta aplica el método MICMAC conforme al Cahier LIPSOR SR-10 sin recortes, y produce exactamente los mismos resultados que la edición Professional.</t>
        </is>
      </c>
    </row>
    <row r="28" ht="22" customHeight="1">
      <c r="B28" s="154" t="inlineStr">
        <is>
          <t xml:space="preserve">Consultar el método y sus límites  →</t>
        </is>
      </c>
    </row>
    <row r="30" ht="20" customHeight="1">
      <c r="B30" s="192" t="inlineStr">
        <is>
          <t xml:space="preserve">ESTADO GLOBAL DEL ESTUDIO</t>
        </is>
      </c>
    </row>
    <row r="31" ht="30" customHeight="1">
      <c r="B31" s="230">
        <f>IF(Var_N&lt;2,"Sin empezar. El recorrido son siete pasos y unas dos horas.",IF((COUNTA('01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Matriz'!$C$6:$AA$30&lt;&gt;""))-Var_N&gt;=Ind_Preguntas)))*1+(SUM(Res_Motricidad)=0)*1&gt;0,IF((COUNTA('01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Matriz'!$C$6:$AA$30&lt;&gt;""))-Var_N&gt;=Ind_Preguntas)))*1+(SUM(Res_Motricidad)=0)*1=1,"En curso. Falta 1 requisito para poder cerrar el estudio.","En curso. Faltan "&amp;(COUNTA('01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Matriz'!$C$6:$AA$30&lt;&gt;""))-Var_N&gt;=Ind_Preguntas)))*1+(SUM(Res_Motricidad)=0)*1&amp;" requisitos para poder cerrar el estudio."),IF((OR(Ind_Densidad&lt;0.2,Ind_Densidad&gt;0.25))*1+(IF(Ind_NoNulas=0,0,COUNTIF('04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Criterio'!$D$19="4")),0,1)&gt;0))*1&gt;0,IF((OR(Ind_Densidad&lt;0.2,Ind_Densidad&gt;0.25))*1+(IF(Ind_NoNulas=0,0,COUNTIF('04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Criterio'!$D$19="4")),0,1)&gt;0))*1=1,"Listo con salvedades: 1 situación que explicar en el informe.","Listo con salvedades: "&amp;(OR(Ind_Densidad&lt;0.2,Ind_Densidad&gt;0.25))*1+(IF(Ind_NoNulas=0,0,COUNTIF('04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Criterio'!$D$19="4")),0,1)&gt;0))*1&amp;" situaciones que explicar en el informe."),"Listo. El estudio cumple todos los requisitos.")))</f>
      </c>
      <c r="C31" s="230"/>
      <c r="D31" s="230"/>
      <c r="E31" s="230"/>
      <c r="F31" s="230"/>
      <c r="G31" s="230"/>
      <c r="H31" s="230"/>
    </row>
    <row r="32" ht="18" customHeight="1">
      <c r="B32" s="192" t="inlineStr">
        <is>
          <t xml:space="preserve">CÓMO LEER ESTE CASO PRÁCTICO</t>
        </is>
      </c>
    </row>
    <row r="33" ht="20" customHeight="1">
      <c r="B33" s="199" t="inlineStr">
        <is>
          <t xml:space="preserve">Este libro contiene un estudio ya resuelto. Recórralo en el orden de los siete pasos: verá qué escribió el analista y qué calculó la herramienta.</t>
        </is>
      </c>
    </row>
    <row r="34" ht="20" customHeight="1">
      <c r="B34" s="199" t="inlineStr">
        <is>
          <t xml:space="preserve">Las celdas con fondo azul claro son las que se rellenan a mano. Todo lo demás son fórmulas: si cambia un dato, los resultados se recalculan solos.</t>
        </is>
      </c>
    </row>
  </sheetData>
  <sheetProtection password="CD7E" sheet="1" formatCells="0" formatColumns="0" formatRows="0" insertRows="0"/>
  <mergeCells count="29">
    <mergeCell ref="B1:E1"/>
    <mergeCell ref="B2:G2"/>
    <mergeCell ref="B4:F4"/>
    <mergeCell ref="B5:G5"/>
    <mergeCell ref="B7:H7"/>
    <mergeCell ref="B8:C8"/>
    <mergeCell ref="D8:E8"/>
    <mergeCell ref="F8:H8"/>
    <mergeCell ref="B9:C9"/>
    <mergeCell ref="D9:E9"/>
    <mergeCell ref="F9:H9"/>
    <mergeCell ref="B11:H11"/>
    <mergeCell ref="B12:H12"/>
    <mergeCell ref="B14:D14"/>
    <mergeCell ref="B15:G15"/>
    <mergeCell ref="B17:H17"/>
    <mergeCell ref="B23:H23"/>
    <mergeCell ref="B24:C24"/>
    <mergeCell ref="B25:C25"/>
    <mergeCell ref="D24:E24"/>
    <mergeCell ref="D25:E25"/>
    <mergeCell ref="F24:G24"/>
    <mergeCell ref="F25:G25"/>
    <mergeCell ref="B27:H27"/>
    <mergeCell ref="B28:E28"/>
    <mergeCell ref="B30:H30"/>
    <mergeCell ref="B31:H31"/>
    <mergeCell ref="B33:H33"/>
    <mergeCell ref="B34:H34"/>
  </mergeCells>
  <hyperlinks>
    <hyperlink ref="B14" location="'01 · Encuadre'!A1" display="Empezar"/>
    <hyperlink ref="B19" location="'01 · Encuadre'!A1" display="Encuadre"/>
    <hyperlink ref="C19" location="'02 · Variables'!A1" display="Variables"/>
    <hyperlink ref="D19" location="'03 · Criterio'!A1" display="Criterio"/>
    <hyperlink ref="E19" location="'04 · Matriz'!A1" display="Matriz"/>
    <hyperlink ref="F19" location="'05 · Resultado'!A1" display="Resultado"/>
    <hyperlink ref="G19" location="'Comprobación'!A1" display="Revisión"/>
    <hyperlink ref="H19" location="'06 · Informe'!A1" display="Informe"/>
    <hyperlink ref="B28" location="Método!A1" display="Método"/>
  </hyperlinks>
  <pageMargins left="0.4" right="0.4" top="0.5" bottom="0.5" header="0.3" footer="0.3"/>
  <pageSetup paperSize="9" scale="100" fitToWidth="1" fitToHeight="0" orientation="portrait"/>
  <headerFooter>
    <oddFooter>&amp;L&amp;"Aptos,Regular"&amp;8&amp;K94A0AEIntelKIT · MICMAC Essentials v1.0&amp;R&amp;"Aptos,Regular"&amp;8&amp;K94A0AEPágina &amp;P de &amp;N</oddFooter>
  </headerFooter>
</worksheet>
</file>

<file path=xl/worksheets/sheet24.xml><?xml version="1.0" encoding="utf-8"?>
<worksheet xmlns="http://schemas.openxmlformats.org/spreadsheetml/2006/main" xmlns:r="http://schemas.openxmlformats.org/officeDocument/2006/relationships">
  <sheetPr>
    <tabColor rgb="FF3A3F9E"/>
    <pageSetUpPr fitToPage="1"/>
  </sheetPr>
  <dimension ref="A1:H31"/>
  <sheetViews>
    <sheetView showGridLines="0" zoomScaleNormal="100" workbookViewId="0">
      <pane ySplit="6" topLeftCell="A7" activePane="bottomLeft" state="frozen"/>
    </sheetView>
  </sheetViews>
  <sheetFormatPr baseColWidth="10" defaultRowHeight="15"/>
  <cols>
    <col min="1" max="1" width="3" customWidth="1"/>
    <col min="2" max="2" width="26" customWidth="1"/>
    <col min="3" max="3" width="56" customWidth="1"/>
    <col min="4" max="4" width="26" customWidth="1"/>
    <col min="5" max="5" width="18" customWidth="1"/>
    <col min="6" max="6" width="18" customWidth="1"/>
    <col min="7" max="7" width="18" customWidth="1"/>
    <col min="8" max="8" width="14" customWidth="1"/>
  </cols>
  <sheetData>
    <row r="1" ht="28" customHeight="1">
      <c r="A1" s="157"/>
      <c r="B1" s="157" t="inlineStr">
        <is>
          <t xml:space="preserve">MICMAC  ESSENTIALS</t>
        </is>
      </c>
      <c r="C1" s="157"/>
      <c r="D1" s="157"/>
      <c r="E1" s="157"/>
      <c r="F1" s="157"/>
      <c r="G1" s="157"/>
      <c r="H1" s="158" t="inlineStr">
        <is>
          <t xml:space="preserve">Paso 1 de 7</t>
        </is>
      </c>
    </row>
    <row r="2" ht="24" customHeight="1">
      <c r="B2" s="160" t="inlineStr">
        <is>
          <t xml:space="preserve"> 1 · Encuadre </t>
        </is>
      </c>
      <c r="C2" s="162">
        <f>IF(COUNTA('02 · Variables'!$C$7:$C$31)&gt;=8,"✓ 2 · Variables","2 · Variables")</f>
      </c>
      <c r="D2" s="162">
        <f>IF(COUNTA('03 · Criterio'!$D$9:$D$23)=8,"✓ 3 · Criterio","3 · Criterio")</f>
      </c>
      <c r="E2" s="162">
        <f>IF((SUMPRODUCT((ROW('04 · Matriz'!$C$6:$AA$30)-5&lt;=Var_N)*(COLUMN('04 · Matriz'!$C$6:$AA$30)-2&lt;=Var_N)*('04 · Matriz'!$C$6:$AA$30&lt;&gt;""))-Var_N&gt;=Ind_Preguntas),"✓ 4 · Matriz","4 · Matriz")</f>
      </c>
      <c r="F2" s="162">
        <f>IF((SUMPRODUCT((ROW('04 · Matriz'!$C$6:$AA$30)-5&lt;=Var_N)*(COLUMN('04 · Matriz'!$C$6:$AA$30)-2&lt;=Var_N)*('04 · Matriz'!$C$6:$AA$30&lt;&gt;""))-Var_N&gt;=Ind_Preguntas),"✓ 5 · Resultado","5 · Resultado")</f>
      </c>
      <c r="G2" s="162">
        <f>IF((SUMPRODUCT((ROW('04 · Matriz'!$C$6:$AA$30)-5&lt;=Var_N)*(COLUMN('04 · Matriz'!$C$6:$AA$30)-2&lt;=Var_N)*('04 · Matriz'!$C$6:$AA$30&lt;&gt;""))-Var_N&gt;=Ind_Preguntas),"✓ 6 · Revisión","6 · Revisión")</f>
      </c>
      <c r="H2" s="162" t="inlineStr">
        <is>
          <t xml:space="preserve">◀ Inicio</t>
        </is>
      </c>
    </row>
    <row r="3" ht="38" customHeight="1">
      <c r="B3" s="163" t="inlineStr">
        <is>
          <t xml:space="preserve">Empecemos por situar el estudio</t>
        </is>
      </c>
    </row>
    <row r="4" ht="24" customHeight="1">
      <c r="B4" s="195" t="inlineStr">
        <is>
          <t xml:space="preserve">Cuatro respuestas breves sobre qué va a analizar y hasta cuándo mira.</t>
        </is>
      </c>
    </row>
    <row r="5" ht="30" customHeight="1">
      <c r="B5" s="199" t="inlineStr">
        <is>
          <t xml:space="preserve">Por qué importa: ninguna de estas respuestas entra en el cálculo, pero son las que permiten que otra persona entienda su análisis dentro de seis meses. El horizonte, además, decide después cuándo una relación cuenta como potencial.</t>
        </is>
      </c>
    </row>
    <row r="6" ht="10" customHeight="1">
      <c r="B6" s="204"/>
      <c r="C6" s="204"/>
      <c r="D6" s="204"/>
      <c r="E6" s="204"/>
      <c r="F6" s="204"/>
      <c r="G6" s="204"/>
      <c r="H6" s="204"/>
    </row>
    <row r="8" ht="22" customHeight="1">
      <c r="B8" s="180" t="inlineStr">
        <is>
          <t xml:space="preserve">1 · Título del estudio</t>
        </is>
      </c>
    </row>
    <row r="9" ht="20" customHeight="1">
      <c r="B9" s="178" t="inlineStr">
        <is>
          <t xml:space="preserve">Una frase que identifique el sistema con precisión.</t>
        </is>
      </c>
    </row>
    <row r="10" ht="30" customHeight="1">
      <c r="B10" s="182" t="inlineStr">
        <is>
          <t xml:space="preserve">Vulnerabilidad de un puerto comercial ante la infiltración del crimen organizado</t>
        </is>
      </c>
      <c r="C10" s="182"/>
      <c r="D10" s="182"/>
      <c r="E10" s="174">
        <f>IF('01 · Encuadre'!$B$10="","","✓ escrito")</f>
      </c>
    </row>
    <row r="11" ht="20" customHeight="1">
      <c r="B11" s="173" t="inlineStr">
        <is>
          <t xml:space="preserve">Ejemplo:  Vulnerabilidad de un puerto comercial ante la infiltración del crimen organizado</t>
        </is>
      </c>
    </row>
    <row r="12" ht="22" customHeight="1">
      <c r="B12" s="180" t="inlineStr">
        <is>
          <t xml:space="preserve">2 · Pregunta analítica</t>
        </is>
      </c>
    </row>
    <row r="13" ht="20" customHeight="1">
      <c r="B13" s="178" t="inlineStr">
        <is>
          <t xml:space="preserve">Formúlelo como pregunta. Es lo que el informe responderá.</t>
        </is>
      </c>
    </row>
    <row r="14" ht="30" customHeight="1">
      <c r="B14" s="182" t="inlineStr">
        <is>
          <t xml:space="preserve">¿Qué factores condicionan realmente la vulnerabilidad del sistema portuario?</t>
        </is>
      </c>
      <c r="C14" s="182"/>
      <c r="D14" s="182"/>
      <c r="E14" s="174">
        <f>IF('01 · Encuadre'!$B$14="","","✓ escrito")</f>
      </c>
    </row>
    <row r="15" ht="20" customHeight="1">
      <c r="B15" s="173" t="inlineStr">
        <is>
          <t xml:space="preserve">Ejemplo:  ¿Qué factores condicionan realmente la vulnerabilidad del sistema portuario?</t>
        </is>
      </c>
    </row>
    <row r="16" ht="22" customHeight="1">
      <c r="B16" s="180" t="inlineStr">
        <is>
          <t xml:space="preserve">3 · Horizonte temporal</t>
        </is>
      </c>
    </row>
    <row r="17" ht="20" customHeight="1">
      <c r="B17" s="178" t="inlineStr">
        <is>
          <t xml:space="preserve">Define qué se considera potencial: una relación posterior al horizonte se registra como 0.</t>
        </is>
      </c>
    </row>
    <row r="18" ht="30" customHeight="1">
      <c r="B18" s="182" t="inlineStr">
        <is>
          <t xml:space="preserve">Horizonte 2030</t>
        </is>
      </c>
      <c r="C18" s="182"/>
      <c r="D18" s="182"/>
      <c r="E18" s="174">
        <f>IF('01 · Encuadre'!$B$18="","","✓ escrito")</f>
      </c>
    </row>
    <row r="19" ht="20" customHeight="1">
      <c r="B19" s="173" t="inlineStr">
        <is>
          <t xml:space="preserve">Ejemplo:  Horizonte 2030</t>
        </is>
      </c>
    </row>
    <row r="20" ht="22" customHeight="1">
      <c r="B20" s="180" t="inlineStr">
        <is>
          <t xml:space="preserve">4 · Autor o equipo</t>
        </is>
      </c>
    </row>
    <row r="21" ht="20" customHeight="1">
      <c r="B21" s="178" t="inlineStr">
        <is>
          <t xml:space="preserve">Persona o unidad que firma el análisis.</t>
        </is>
      </c>
    </row>
    <row r="22" ht="30" customHeight="1">
      <c r="B22" s="182" t="inlineStr">
        <is>
          <t xml:space="preserve">Organismo responsable de la seguridad portuaria</t>
        </is>
      </c>
      <c r="C22" s="182"/>
      <c r="D22" s="182"/>
      <c r="E22" s="174">
        <f>IF('01 · Encuadre'!$B$22="","","✓ escrito")</f>
      </c>
    </row>
    <row r="23" ht="20" customHeight="1">
      <c r="B23" s="173" t="inlineStr">
        <is>
          <t xml:space="preserve">Ejemplo:  Unidad de Análisis y Prospectiva</t>
        </is>
      </c>
    </row>
    <row r="25" ht="10" customHeight="1">
      <c r="B25" s="204"/>
      <c r="C25" s="204"/>
      <c r="D25" s="204"/>
      <c r="E25" s="204"/>
      <c r="F25" s="204"/>
      <c r="G25" s="204"/>
      <c r="H25" s="204"/>
    </row>
    <row r="26" ht="18" customHeight="1">
      <c r="B26" s="192" t="inlineStr">
        <is>
          <t xml:space="preserve">YA ESTÁ HECHO</t>
        </is>
      </c>
      <c r="D26" s="192" t="inlineStr">
        <is>
          <t xml:space="preserve">AHORA TOCA</t>
        </is>
      </c>
      <c r="F26" s="192" t="inlineStr">
        <is>
          <t xml:space="preserve">LE QUEDA</t>
        </is>
      </c>
    </row>
    <row r="27" ht="40" customHeight="1">
      <c r="B27" s="201">
        <f>"Ha descrito el estudio: "&amp;COUNTA('01 · Encuadre'!$B$10,'01 · Encuadre'!$B$14,'01 · Encuadre'!$B$18,'01 · Encuadre'!$B$22)&amp;" de 4 campos."</f>
      </c>
      <c r="D27" s="201">
        <f>"Definir entre 8 y 25 factores que describan el sistema."</f>
      </c>
      <c r="F27" s="201">
        <f>"Seis pasos y unas dos horas de trabajo."</f>
      </c>
    </row>
    <row r="29" ht="32" customHeight="1">
      <c r="B29" s="175" t="inlineStr">
        <is>
          <t xml:space="preserve">CONTINUAR AL PASO 2   ▶</t>
        </is>
      </c>
      <c r="C29" s="175"/>
      <c r="D29" s="175"/>
    </row>
    <row r="30" ht="18" customHeight="1">
      <c r="B30" s="192" t="inlineStr">
        <is>
          <t xml:space="preserve">QUÉ ESTAMOS ANALIZANDO</t>
        </is>
      </c>
    </row>
    <row r="31" ht="34" customHeight="1">
      <c r="B31" s="199" t="inlineStr">
        <is>
          <t xml:space="preserve">Un puerto comercial y su vulnerabilidad ante el crimen organizado. El horizonte 2030 es el que decide después qué relaciones se consideran solo potenciales.</t>
        </is>
      </c>
    </row>
  </sheetData>
  <sheetProtection password="CD7E" sheet="1" formatCells="0" formatColumns="0" formatRows="0" insertRows="0"/>
  <mergeCells count="32">
    <mergeCell ref="B1:D1"/>
    <mergeCell ref="B3:F3"/>
    <mergeCell ref="B4:H4"/>
    <mergeCell ref="B5:H5"/>
    <mergeCell ref="B8:C8"/>
    <mergeCell ref="B9:D9"/>
    <mergeCell ref="B10:D10"/>
    <mergeCell ref="E10:F10"/>
    <mergeCell ref="B11:F11"/>
    <mergeCell ref="B12:C12"/>
    <mergeCell ref="B13:D13"/>
    <mergeCell ref="B14:D14"/>
    <mergeCell ref="E14:F14"/>
    <mergeCell ref="B15:F15"/>
    <mergeCell ref="B16:C16"/>
    <mergeCell ref="B17:D17"/>
    <mergeCell ref="B18:D18"/>
    <mergeCell ref="E18:F18"/>
    <mergeCell ref="B19:F19"/>
    <mergeCell ref="B20:C20"/>
    <mergeCell ref="B21:D21"/>
    <mergeCell ref="B22:D22"/>
    <mergeCell ref="E22:F22"/>
    <mergeCell ref="B23:F23"/>
    <mergeCell ref="B26:C26"/>
    <mergeCell ref="B27:C27"/>
    <mergeCell ref="D26:E26"/>
    <mergeCell ref="D27:E27"/>
    <mergeCell ref="F26:G26"/>
    <mergeCell ref="F27:G27"/>
    <mergeCell ref="B29:D29"/>
    <mergeCell ref="B31:H31"/>
  </mergeCells>
  <dataValidations count="4">
    <dataValidation type="textLength" operator="between" allowBlank="1" showInputMessage="1" showErrorMessage="1" promptTitle="Qué sistema analiza" prompt="Una frase que identifique el sistema con precisión.  Ejemplo: Vulnerabilidad de un puerto comercial ante la infiltración del crimen organizado" errorTitle="Valor no admitido" error="Una frase que identifique el sistema con precisión.  Ejemplo: Vulnerabilidad de un puerto comercial ante la infiltración del crimen organizado" sqref="B10">
      <formula1>1</formula1>
      <formula2>250</formula2>
    </dataValidation>
    <dataValidation type="textLength" operator="between" allowBlank="1" showInputMessage="1" showErrorMessage="1" promptTitle="Qué quiere responder" prompt="Formúlelo como pregunta. Es lo que el informe responderá.  Ejemplo: ¿Qué factores condicionan realmente la vulnerabilidad del sistema portuario?" errorTitle="Valor no admitido" error="Formúlelo como pregunta. Es lo que el informe responderá.  Ejemplo: ¿Qué factores condicionan realmente la vulnerabilidad del sistema portuario?" sqref="B14">
      <formula1>1</formula1>
      <formula2>250</formula2>
    </dataValidation>
    <dataValidation type="textLength" operator="between" allowBlank="1" showInputMessage="1" showErrorMessage="1" promptTitle="Hasta dónde mira" prompt="Define qué se considera potencial: una relación posterior al horizonte se registra como 0.  Ejemplo: Horizonte 2030" errorTitle="Valor no admitido" error="Define qué se considera potencial: una relación posterior al horizonte se registra como 0.  Ejemplo: Horizonte 2030" sqref="B18">
      <formula1>1</formula1>
      <formula2>250</formula2>
    </dataValidation>
    <dataValidation type="textLength" operator="between" allowBlank="1" showInputMessage="1" showErrorMessage="1" promptTitle="Quién responde del estudio" prompt="Persona o unidad que firma el análisis.  Ejemplo: Unidad de Análisis y Prospectiva" errorTitle="Valor no admitido" error="Persona o unidad que firma el análisis.  Ejemplo: Unidad de Análisis y Prospectiva" sqref="B22">
      <formula1>1</formula1>
      <formula2>250</formula2>
    </dataValidation>
  </dataValidations>
  <hyperlinks>
    <hyperlink ref="B2" location="'01 · Encuadre'!A1" display="Encuadre"/>
    <hyperlink ref="C2" location="'02 · Variables'!A1" display="Variables"/>
    <hyperlink ref="D2" location="'03 · Criterio'!A1" display="Criterio"/>
    <hyperlink ref="E2" location="'04 · Matriz'!A1" display="Matriz"/>
    <hyperlink ref="F2" location="'05 · Resultado'!A1" display="Resultado"/>
    <hyperlink ref="G2" location="'Comprobación'!A1" display="Revisión"/>
    <hyperlink ref="H2" location="'06 · Informe'!A1" display="Informe"/>
    <hyperlink ref="H2" location="Inicio!A1" display="Inicio"/>
    <hyperlink ref="B29" location="'02 · Variables'!A1" display="CONTINUAR AL PASO 2   ▶"/>
  </hyperlinks>
  <pageMargins left="0.4" right="0.4" top="0.5" bottom="0.5" header="0.3" footer="0.3"/>
  <pageSetup paperSize="9" scale="100" fitToWidth="1" fitToHeight="0" orientation="portrait"/>
  <headerFooter>
    <oddFooter>&amp;L&amp;"Aptos,Regular"&amp;8&amp;K94A0AEIntelKIT · MICMAC Essentials v1.0&amp;R&amp;"Aptos,Regular"&amp;8&amp;K94A0AEPágina &amp;P de &amp;N</oddFooter>
  </headerFooter>
</worksheet>
</file>

<file path=xl/worksheets/sheet25.xml><?xml version="1.0" encoding="utf-8"?>
<worksheet xmlns="http://schemas.openxmlformats.org/spreadsheetml/2006/main" xmlns:r="http://schemas.openxmlformats.org/officeDocument/2006/relationships">
  <sheetPr>
    <tabColor rgb="FF3A3F9E"/>
    <pageSetUpPr fitToPage="1"/>
  </sheetPr>
  <dimension ref="A1:G52"/>
  <sheetViews>
    <sheetView showGridLines="0" zoomScaleNormal="100" workbookViewId="0">
      <pane ySplit="8" topLeftCell="A9" activePane="bottomLeft" state="frozen"/>
    </sheetView>
  </sheetViews>
  <sheetFormatPr baseColWidth="10" defaultRowHeight="15"/>
  <cols>
    <col min="1" max="1" width="3" customWidth="1"/>
    <col min="2" max="2" width="7" customWidth="1"/>
    <col min="3" max="3" width="54" customWidth="1"/>
    <col min="4" max="4" width="13" customWidth="1"/>
    <col min="5" max="5" width="42" customWidth="1"/>
    <col min="6" max="6" width="20" customWidth="1"/>
    <col min="7" max="7" width="14" customWidth="1"/>
  </cols>
  <sheetData>
    <row r="1" ht="28" customHeight="1">
      <c r="A1" s="157"/>
      <c r="B1" s="157" t="inlineStr">
        <is>
          <t xml:space="preserve">MICMAC  ESSENTIALS</t>
        </is>
      </c>
      <c r="C1" s="157"/>
      <c r="D1" s="157"/>
      <c r="E1" s="157"/>
      <c r="F1" s="157"/>
      <c r="G1" s="158" t="inlineStr">
        <is>
          <t xml:space="preserve">Paso 3 de 7</t>
        </is>
      </c>
    </row>
    <row r="2" ht="24" customHeight="1">
      <c r="B2" s="161">
        <f>IF(COUNTA('01 · Encuadre'!$B$10,'01 · Encuadre'!$B$14,'01 · Encuadre'!$B$18,'01 · Encuadre'!$B$22)=4,"✓ 1 · Encuadre","1 · Encuadre")</f>
      </c>
      <c r="C2" s="161">
        <f>IF(COUNTA('02 · Variables'!$C$7:$C$31)&gt;=8,"✓ 2 · Variables","2 · Variables")</f>
      </c>
      <c r="D2" s="160" t="inlineStr">
        <is>
          <t xml:space="preserve"> 3 · Criterio </t>
        </is>
      </c>
      <c r="E2" s="162">
        <f>IF((SUMPRODUCT((ROW('04 · Matriz'!$C$6:$AA$30)-5&lt;=Var_N)*(COLUMN('04 · Matriz'!$C$6:$AA$30)-2&lt;=Var_N)*('04 · Matriz'!$C$6:$AA$30&lt;&gt;""))-Var_N&gt;=Ind_Preguntas),"✓ 4 · Matriz","4 · Matriz")</f>
      </c>
      <c r="F2" s="162">
        <f>IF((SUMPRODUCT((ROW('04 · Matriz'!$C$6:$AA$30)-5&lt;=Var_N)*(COLUMN('04 · Matriz'!$C$6:$AA$30)-2&lt;=Var_N)*('04 · Matriz'!$C$6:$AA$30&lt;&gt;""))-Var_N&gt;=Ind_Preguntas),"✓ 5 · Resultado","5 · Resultado")</f>
      </c>
      <c r="G2" s="162" t="inlineStr">
        <is>
          <t xml:space="preserve">◀ Inicio</t>
        </is>
      </c>
    </row>
    <row r="3" ht="38" customHeight="1">
      <c r="B3" s="163" t="inlineStr">
        <is>
          <t xml:space="preserve">Antes de valorar, pónganse de acuerdo</t>
        </is>
      </c>
    </row>
    <row r="4" ht="24" customHeight="1">
      <c r="B4" s="195" t="inlineStr">
        <is>
          <t xml:space="preserve">Ocho casos construidos con sus propios factores. Resuélvanlos juntos.</t>
        </is>
      </c>
    </row>
    <row r="5" ht="30" customHeight="1">
      <c r="B5" s="199" t="inlineStr">
        <is>
          <t xml:space="preserve">Por qué importa: si cada persona entiende un 3 de forma distinta, la matriz resultante no significa nada. Quince minutos aquí evitan tener que repetirla entera.</t>
        </is>
      </c>
    </row>
    <row r="6" ht="26" customHeight="1">
      <c r="B6" s="199" t="inlineStr">
        <is>
          <t xml:space="preserve">Antes de valorar la matriz, el panel acuerda cómo interpretará los valores de la escala. Estos ocho casos sirven para establecer un criterio común.</t>
        </is>
      </c>
      <c r="C6" s="204"/>
      <c r="D6" s="204"/>
      <c r="E6" s="204"/>
      <c r="F6" s="204"/>
      <c r="G6" s="204"/>
    </row>
    <row r="7" ht="20" customHeight="1">
      <c r="B7" s="193"/>
      <c r="C7" s="193" t="inlineStr">
        <is>
          <t xml:space="preserve">EL CASO, CON SUS FACTORES</t>
        </is>
      </c>
      <c r="D7" s="194" t="inlineStr">
        <is>
          <t xml:space="preserve">ACUERDO</t>
        </is>
      </c>
      <c r="E7" s="193" t="inlineStr">
        <is>
          <t xml:space="preserve">QUÉ FIJA</t>
        </is>
      </c>
      <c r="F7" s="193"/>
      <c r="G7" s="193"/>
    </row>
    <row r="8" ht="18" customHeight="1">
      <c r="C8" s="178" t="inlineStr">
        <is>
          <t xml:space="preserve">Discútanlo en voz alta antes de escribir el valor.</t>
        </is>
      </c>
    </row>
    <row r="9" ht="56" customHeight="1">
      <c r="B9" s="179" t="inlineStr">
        <is>
          <t xml:space="preserve">1</t>
        </is>
      </c>
      <c r="C9" s="170">
        <f>IF(COUNTA('02 · Variables'!$C$7:$C$31)&lt;8,"Defina al menos 8 factores en el paso 2","¿Influye "&amp;'02 · Variables'!$C$7&amp;" sobre "&amp;'02 · Variables'!$C$9&amp;" de forma evidente y directa?")</f>
      </c>
      <c r="D9" s="131" t="inlineStr">
        <is>
          <t xml:space="preserve">3</t>
        </is>
      </c>
      <c r="E9" s="147" t="inlineStr">
        <is>
          <t xml:space="preserve">Cuándo se asigna 3</t>
        </is>
      </c>
      <c r="F9" s="147"/>
      <c r="G9" s="147"/>
    </row>
    <row r="10" ht="6" customHeight="1">
      <c r="B10" s="183"/>
      <c r="C10" s="183"/>
      <c r="D10" s="183"/>
      <c r="E10" s="183"/>
      <c r="F10" s="183"/>
      <c r="G10" s="183"/>
    </row>
    <row r="11" ht="56" customHeight="1">
      <c r="B11" s="179" t="inlineStr">
        <is>
          <t xml:space="preserve">2</t>
        </is>
      </c>
      <c r="C11" s="170">
        <f>IF(COUNTA('02 · Variables'!$C$7:$C$31)&lt;8,"Defina al menos 8 factores en el paso 2","¿Influye "&amp;'02 · Variables'!$C$8&amp;" sobre "&amp;'02 · Variables'!$C$11&amp;"? Si no ven el mecanismo, no lo hay.")</f>
      </c>
      <c r="D11" s="131" t="inlineStr">
        <is>
          <t xml:space="preserve">0</t>
        </is>
      </c>
      <c r="E11" s="147" t="inlineStr">
        <is>
          <t xml:space="preserve">Cuándo se asigna 0</t>
        </is>
      </c>
      <c r="F11" s="147"/>
      <c r="G11" s="147"/>
    </row>
    <row r="12" ht="6" customHeight="1">
      <c r="B12" s="183"/>
      <c r="C12" s="183"/>
      <c r="D12" s="183"/>
      <c r="E12" s="183"/>
      <c r="F12" s="183"/>
      <c r="G12" s="183"/>
    </row>
    <row r="13" ht="56" customHeight="1">
      <c r="B13" s="179" t="inlineStr">
        <is>
          <t xml:space="preserve">3</t>
        </is>
      </c>
      <c r="C13" s="170">
        <f>IF(COUNTA('02 · Variables'!$C$7:$C$31)&lt;8,"Defina al menos 8 factores en el paso 2",""&amp;'02 · Variables'!$C$10&amp;" actúa sobre un tercer factor, y ese sobre "&amp;'02 · Variables'!$C$12&amp;". ¿Es directa?")</f>
      </c>
      <c r="D13" s="131" t="inlineStr">
        <is>
          <t xml:space="preserve">0</t>
        </is>
      </c>
      <c r="E13" s="147" t="inlineStr">
        <is>
          <t xml:space="preserve">La influencia indirecta se registra 0</t>
        </is>
      </c>
      <c r="F13" s="147"/>
      <c r="G13" s="147"/>
    </row>
    <row r="14" ht="6" customHeight="1">
      <c r="B14" s="183"/>
      <c r="C14" s="183"/>
      <c r="D14" s="183"/>
      <c r="E14" s="183"/>
      <c r="F14" s="183"/>
      <c r="G14" s="183"/>
    </row>
    <row r="15" ht="56" customHeight="1">
      <c r="B15" s="179" t="inlineStr">
        <is>
          <t xml:space="preserve">4</t>
        </is>
      </c>
      <c r="C15" s="170">
        <f>IF(COUNTA('02 · Variables'!$C$7:$C$31)&lt;8,"Defina al menos 8 factores en el paso 2",""&amp;'02 · Variables'!$C$9&amp;" llega a "&amp;'02 · Variables'!$C$13&amp;" a través de otro factor de la lista. ¿Es directa?")</f>
      </c>
      <c r="D15" s="131" t="inlineStr">
        <is>
          <t xml:space="preserve">0</t>
        </is>
      </c>
      <c r="E15" s="147" t="inlineStr">
        <is>
          <t xml:space="preserve">Refuerza el caso anterior</t>
        </is>
      </c>
      <c r="F15" s="147"/>
      <c r="G15" s="147"/>
    </row>
    <row r="16" ht="6" customHeight="1">
      <c r="B16" s="183"/>
      <c r="C16" s="183"/>
      <c r="D16" s="183"/>
      <c r="E16" s="183"/>
      <c r="F16" s="183"/>
      <c r="G16" s="183"/>
    </row>
    <row r="17" ht="56" customHeight="1">
      <c r="B17" s="179" t="inlineStr">
        <is>
          <t xml:space="preserve">5</t>
        </is>
      </c>
      <c r="C17" s="170">
        <f>IF(COUNTA('02 · Variables'!$C$7:$C$31)&lt;8,"Defina al menos 8 factores en el paso 2",""&amp;'02 · Variables'!$C$11&amp;" y "&amp;'02 · Variables'!$C$14&amp;" se refuerzan mutuamente. ¿Se valoran las dos celdas?")</f>
      </c>
      <c r="D17" s="131" t="inlineStr">
        <is>
          <t xml:space="preserve">Sí</t>
        </is>
      </c>
      <c r="E17" s="147" t="inlineStr">
        <is>
          <t xml:space="preserve">Cada sentido se valora aparte</t>
        </is>
      </c>
      <c r="F17" s="147"/>
      <c r="G17" s="147"/>
    </row>
    <row r="18" ht="6" customHeight="1">
      <c r="B18" s="183"/>
      <c r="C18" s="183"/>
      <c r="D18" s="183"/>
      <c r="E18" s="183"/>
      <c r="F18" s="183"/>
      <c r="G18" s="183"/>
    </row>
    <row r="19" ht="56" customHeight="1">
      <c r="B19" s="179" t="inlineStr">
        <is>
          <t xml:space="preserve">6</t>
        </is>
      </c>
      <c r="C19" s="170">
        <f>IF(COUNTA('02 · Variables'!$C$7:$C$31)&lt;8,"Defina al menos 8 factores en el paso 2","Hoy no hay relación entre "&amp;'02 · Variables'!$C$12&amp;" y "&amp;'02 · Variables'!$C$8&amp;", pero la habrá en el horizonte.")</f>
      </c>
      <c r="D19" s="131" t="inlineStr">
        <is>
          <t xml:space="preserve">4</t>
        </is>
      </c>
      <c r="E19" s="147" t="inlineStr">
        <is>
          <t xml:space="preserve">Cuándo se asigna 4</t>
        </is>
      </c>
      <c r="F19" s="147"/>
      <c r="G19" s="147"/>
    </row>
    <row r="20" ht="6" customHeight="1">
      <c r="B20" s="183"/>
      <c r="C20" s="183"/>
      <c r="D20" s="183"/>
      <c r="E20" s="183"/>
      <c r="F20" s="183"/>
      <c r="G20" s="183"/>
    </row>
    <row r="21" ht="56" customHeight="1">
      <c r="B21" s="179" t="inlineStr">
        <is>
          <t xml:space="preserve">7</t>
        </is>
      </c>
      <c r="C21" s="170">
        <f>IF(COUNTA('02 · Variables'!$C$7:$C$31)&lt;8,"Defina al menos 8 factores en el paso 2",""&amp;'02 · Variables'!$C$13&amp;" influye sobre "&amp;'02 · Variables'!$C$10&amp;" solo en algunos escenarios.")</f>
      </c>
      <c r="D21" s="131" t="inlineStr">
        <is>
          <t xml:space="preserve">1</t>
        </is>
      </c>
      <c r="E21" s="147" t="inlineStr">
        <is>
          <t xml:space="preserve">Diferencia entre 1 y 2</t>
        </is>
      </c>
      <c r="F21" s="147"/>
      <c r="G21" s="147"/>
    </row>
    <row r="22" ht="6" customHeight="1">
      <c r="B22" s="183"/>
      <c r="C22" s="183"/>
      <c r="D22" s="183"/>
      <c r="E22" s="183"/>
      <c r="F22" s="183"/>
      <c r="G22" s="183"/>
    </row>
    <row r="23" ht="56" customHeight="1">
      <c r="B23" s="179" t="inlineStr">
        <is>
          <t xml:space="preserve">8</t>
        </is>
      </c>
      <c r="C23" s="170">
        <f>IF(COUNTA('02 · Variables'!$C$7:$C$31)&lt;8,"Defina al menos 8 factores en el paso 2","¿Influye "&amp;'02 · Variables'!$C$14&amp;" sobre "&amp;'02 · Variables'!$C$7&amp;"? El panel no lo tiene claro.")</f>
      </c>
      <c r="D23" s="131" t="inlineStr">
        <is>
          <t xml:space="preserve">2</t>
        </is>
      </c>
      <c r="E23" s="147" t="inlineStr">
        <is>
          <t xml:space="preserve">El desacuerdo es información</t>
        </is>
      </c>
      <c r="F23" s="147"/>
      <c r="G23" s="147"/>
    </row>
    <row r="24" ht="6" customHeight="1">
      <c r="B24" s="183"/>
      <c r="C24" s="183"/>
      <c r="D24" s="183"/>
      <c r="E24" s="183"/>
      <c r="F24" s="183"/>
      <c r="G24" s="183"/>
    </row>
    <row r="26" ht="22" customHeight="1">
      <c r="B26" s="192" t="inlineStr">
        <is>
          <t xml:space="preserve">Y AHORA, ESCRÍBANLO CON SUS PALABRAS</t>
        </is>
      </c>
    </row>
    <row r="27" ht="20" customHeight="1">
      <c r="B27" s="178" t="inlineStr">
        <is>
          <t xml:space="preserve">Redáctela el panel con sus palabras. Estará visible mientras valoran la matriz y se adjunta al informe.</t>
        </is>
      </c>
    </row>
    <row r="28" ht="20" customHeight="1">
      <c r="B28" s="180" t="inlineStr">
        <is>
          <t xml:space="preserve">·</t>
        </is>
      </c>
      <c r="C28" s="180" t="inlineStr">
        <is>
          <t xml:space="preserve">Qué entendemos por influencia directa</t>
        </is>
      </c>
    </row>
    <row r="29" ht="32" customHeight="1">
      <c r="C29" s="130" t="inlineStr">
        <is>
          <t xml:space="preserve">Existe influencia directa cuando el panel puede enunciar el mecanismo concreto por el que un factor actúa sobre otro sin pasar por un tercero del inventario.</t>
        </is>
      </c>
      <c r="D29" s="130"/>
      <c r="E29" s="130"/>
      <c r="F29" s="130"/>
      <c r="G29" s="130"/>
    </row>
    <row r="30" ht="20" customHeight="1">
      <c r="B30" s="180" t="inlineStr">
        <is>
          <t xml:space="preserve">·</t>
        </is>
      </c>
      <c r="C30" s="180" t="inlineStr">
        <is>
          <t xml:space="preserve">Cuándo asignamos 3 y cuándo 2</t>
        </is>
      </c>
    </row>
    <row r="31" ht="32" customHeight="1">
      <c r="C31" s="130" t="inlineStr">
        <is>
          <t xml:space="preserve">Se asigna 3 cuando el cambio en el factor de la fila produce un efecto observable y de corto plazo en el de la columna. Se asigna 2 cuando ese efecto está condicionado por factores externos al sistema.</t>
        </is>
      </c>
      <c r="D31" s="130"/>
      <c r="E31" s="130"/>
      <c r="F31" s="130"/>
      <c r="G31" s="130"/>
    </row>
    <row r="32" ht="20" customHeight="1">
      <c r="B32" s="180" t="inlineStr">
        <is>
          <t xml:space="preserve">·</t>
        </is>
      </c>
      <c r="C32" s="180" t="inlineStr">
        <is>
          <t xml:space="preserve">Cuándo asignamos 4 y con qué horizonte</t>
        </is>
      </c>
    </row>
    <row r="33" ht="32" customHeight="1">
      <c r="C33" s="130" t="inlineStr">
        <is>
          <t xml:space="preserve">Se asigna 4 solo si un hecho ya previsto antes de 2030 crearía una relación que hoy no existe. El despliegue de la trazabilidad digital es el caso acordado por este panel.</t>
        </is>
      </c>
      <c r="D33" s="130"/>
      <c r="E33" s="130"/>
      <c r="F33" s="130"/>
      <c r="G33" s="130"/>
    </row>
    <row r="34" ht="20" customHeight="1">
      <c r="B34" s="180" t="inlineStr">
        <is>
          <t xml:space="preserve">·</t>
        </is>
      </c>
      <c r="C34" s="180" t="inlineStr">
        <is>
          <t xml:space="preserve">Casos límite y cómo los resolvemos</t>
        </is>
      </c>
    </row>
    <row r="35" ht="32" customHeight="1">
      <c r="C35" s="130" t="inlineStr">
        <is>
          <t xml:space="preserve">Las relaciones recíprocas se valoran por separado en cada sentido. Ante desacuerdo persistente se registra el valor menor y se anota la discrepancia en las observaciones.</t>
        </is>
      </c>
      <c r="D35" s="130"/>
      <c r="E35" s="130"/>
      <c r="F35" s="130"/>
      <c r="G35" s="130"/>
    </row>
    <row r="37" ht="20" customHeight="1">
      <c r="B37" s="192" t="inlineStr">
        <is>
          <t xml:space="preserve">COHERENCIA DE LO ACORDADO</t>
        </is>
      </c>
      <c r="C37" s="204"/>
      <c r="D37" s="204"/>
      <c r="E37" s="204"/>
      <c r="F37" s="204"/>
      <c r="G37" s="204"/>
    </row>
    <row r="38" ht="30" customHeight="1">
      <c r="B38" s="200" t="inlineStr">
        <is>
          <t xml:space="preserve">Los ocho casos resueltos</t>
        </is>
      </c>
      <c r="C38" s="205">
        <f>IF(COUNTA('03 · Criterio'!$D$9:$D$23)=8,"✓","⚠")</f>
      </c>
      <c r="D38" s="203">
        <f>IF(COUNTA('03 · Criterio'!$D$9:$D$23)=8,"","Faltan "&amp;(8-COUNTA('03 · Criterio'!$D$9:$D$23)))</f>
      </c>
      <c r="E38" s="203" t="inlineStr">
        <is>
          <t xml:space="preserve">Sin los ocho, el criterio no queda fijado.</t>
        </is>
      </c>
      <c r="F38" s="192" t="inlineStr">
        <is>
          <t xml:space="preserve">LE QUEDA</t>
        </is>
      </c>
    </row>
    <row r="39" ht="30" customHeight="1">
      <c r="B39" s="200" t="inlineStr">
        <is>
          <t xml:space="preserve">La ficha redactada</t>
        </is>
      </c>
      <c r="C39" s="205">
        <f>IF(COUNTA('03 · Criterio'!$C$29,'03 · Criterio'!$C$31,'03 · Criterio'!$C$33,'03 · Criterio'!$C$35)=4,"✓","⚠")</f>
      </c>
      <c r="D39" s="203">
        <f>IF(COUNTA('03 · Criterio'!$C$29,'03 · Criterio'!$C$31,'03 · Criterio'!$C$33,'03 · Criterio'!$C$35)=4,"","Faltan "&amp;(4-COUNTA('03 · Criterio'!$C$29,'03 · Criterio'!$C$31,'03 · Criterio'!$C$33,'03 · Criterio'!$C$35))&amp;" campos")</f>
      </c>
      <c r="E39" s="203" t="inlineStr">
        <is>
          <t xml:space="preserve">Es lo que se adjunta al informe y permite auditar el estudio.</t>
        </is>
      </c>
      <c r="F39" s="201">
        <f>"Cuatro pasos. Este es el momento de hacer una pausa antes del más largo."</f>
      </c>
    </row>
    <row r="40" ht="30" customHeight="1">
      <c r="B40" s="200" t="inlineStr">
        <is>
          <t xml:space="preserve">Las influencias mediadas se registran como 0</t>
        </is>
      </c>
      <c r="C40" s="205">
        <f>IF((IF(OR('03 · Criterio'!$D$13="",OR('03 · Criterio'!$D$13=0,'03 · Criterio'!$D$13="0")),0,1)+IF(OR('03 · Criterio'!$D$15="",OR('03 · Criterio'!$D$15=0,'03 · Criterio'!$D$15="0")),0,1))=0,"✓","⚠")</f>
      </c>
      <c r="D40" s="203">
        <f>IF((IF(OR('03 · Criterio'!$D$13="",OR('03 · Criterio'!$D$13=0,'03 · Criterio'!$D$13="0")),0,1)+IF(OR('03 · Criterio'!$D$15="",OR('03 · Criterio'!$D$15=0,'03 · Criterio'!$D$15="0")),0,1))=0,"","Casos 3 o 4 distintos de 0")</f>
      </c>
      <c r="E40" s="203" t="inlineStr">
        <is>
          <t xml:space="preserve">Si el panel las marca como directas, el cálculo indirecto pierde su sentido.</t>
        </is>
      </c>
    </row>
    <row r="41" ht="30" customHeight="1">
      <c r="B41" s="200" t="inlineStr">
        <is>
          <t xml:space="preserve">El caso potencial se resuelve con 4</t>
        </is>
      </c>
      <c r="C41" s="205">
        <f>IF(IF(OR('03 · Criterio'!$D$19="",OR('03 · Criterio'!$D$19=4,'03 · Criterio'!$D$19="4")),0,1)=0,"✓","⚠")</f>
      </c>
      <c r="D41" s="203">
        <f>IF(IF(OR('03 · Criterio'!$D$19="",OR('03 · Criterio'!$D$19=4,'03 · Criterio'!$D$19="4")),0,1)=0,"","Caso 6 distinto de 4")</f>
      </c>
      <c r="E41" s="203" t="inlineStr">
        <is>
          <t xml:space="preserve">El 4 señala una relación futura, no una intensidad alta.</t>
        </is>
      </c>
    </row>
    <row r="43" ht="24" customHeight="1">
      <c r="B43" s="142">
        <f>IF(COUNTA('03 · Criterio'!$D$9:$D$23)&lt;8,"● Aún faltan casos por acordar",IF(AND((IF(OR('03 · Criterio'!$D$13="",OR('03 · Criterio'!$D$13=0,'03 · Criterio'!$D$13="0")),0,1)+IF(OR('03 · Criterio'!$D$15="",OR('03 · Criterio'!$D$15=0,'03 · Criterio'!$D$15="0")),0,1))=0,IF(OR('03 · Criterio'!$D$19="",OR('03 · Criterio'!$D$19=4,'03 · Criterio'!$D$19="4")),0,1)=0,COUNTA('03 · Criterio'!$C$29,'03 · Criterio'!$C$31,'03 · Criterio'!$C$33,'03 · Criterio'!$C$35)=4),"● Criterio coherente. Pueden empezar a valorar","● Revisen lo marcado: afecta a cómo se interpretará toda la matriz"))</f>
      </c>
      <c r="C43" s="141"/>
      <c r="D43" s="141"/>
      <c r="E43" s="141"/>
      <c r="F43" s="141"/>
      <c r="G43" s="141"/>
    </row>
    <row r="45" ht="10" customHeight="1">
      <c r="B45" s="204"/>
      <c r="C45" s="204"/>
      <c r="D45" s="204"/>
      <c r="E45" s="204"/>
      <c r="F45" s="204"/>
      <c r="G45" s="204"/>
    </row>
    <row r="46" ht="18" customHeight="1">
      <c r="B46" s="192" t="inlineStr">
        <is>
          <t xml:space="preserve">YA ESTÁ HECHO</t>
        </is>
      </c>
      <c r="D46" s="192" t="inlineStr">
        <is>
          <t xml:space="preserve">AHORA TOCA</t>
        </is>
      </c>
      <c r="F46" s="192" t="inlineStr">
        <is>
          <t xml:space="preserve">LE QUEDA</t>
        </is>
      </c>
    </row>
    <row r="47" ht="40" customHeight="1">
      <c r="B47" s="201">
        <f>"Han acordado "&amp;COUNTA('03 · Criterio'!$D$9:$D$23)&amp;" de 8 casos y "&amp;COUNTA('03 · Criterio'!$C$29,'03 · Criterio'!$C$31,'03 · Criterio'!$C$33,'03 · Criterio'!$C$35)&amp;" de 4 campos de la ficha."</f>
      </c>
      <c r="D47" s="201">
        <f>"Valorar la matriz: "&amp;Ind_Preguntas&amp;" juicios, uno por cada par de factores."</f>
      </c>
      <c r="F47" s="201">
        <f>"Cuatro pasos. Este es el momento de hacer una pausa antes del más largo."</f>
      </c>
    </row>
    <row r="49" ht="32" customHeight="1">
      <c r="B49" s="175" t="inlineStr">
        <is>
          <t xml:space="preserve">CONTINUAR AL PASO 4   ▶</t>
        </is>
      </c>
      <c r="C49" s="175"/>
      <c r="D49" s="175"/>
    </row>
    <row r="50" ht="18" customHeight="1">
      <c r="B50" s="192" t="inlineStr">
        <is>
          <t xml:space="preserve">POR QUÉ SE CALIBRA ANTES DE VALORAR</t>
        </is>
      </c>
    </row>
    <row r="51" ht="34" customHeight="1">
      <c r="B51" s="199" t="inlineStr">
        <is>
          <t xml:space="preserve">Si cada miembro del panel entiende un 3 de forma distinta, las noventa valoraciones mezclan escalas incompatibles y la matriz deja de significar nada.</t>
        </is>
      </c>
    </row>
    <row r="52" ht="20" customHeight="1">
      <c r="B52" s="199" t="inlineStr">
        <is>
          <t xml:space="preserve">Los ocho casos se resuelven en grupo y la ficha superior deja el criterio por escrito: es lo que permite auditar el estudio más adelante.</t>
        </is>
      </c>
    </row>
  </sheetData>
  <sheetProtection password="CD7E" sheet="1" formatCells="0" formatColumns="0" formatRows="0" insertRows="0"/>
  <mergeCells count="42">
    <mergeCell ref="B1:C1"/>
    <mergeCell ref="B3:F3"/>
    <mergeCell ref="B4:G4"/>
    <mergeCell ref="B5:G5"/>
    <mergeCell ref="C8:E8"/>
    <mergeCell ref="E9:G9"/>
    <mergeCell ref="E11:G11"/>
    <mergeCell ref="E13:G13"/>
    <mergeCell ref="E15:G15"/>
    <mergeCell ref="E17:G17"/>
    <mergeCell ref="E19:G19"/>
    <mergeCell ref="E21:G21"/>
    <mergeCell ref="E23:G23"/>
    <mergeCell ref="B26:G26"/>
    <mergeCell ref="B27:G27"/>
    <mergeCell ref="C28:D28"/>
    <mergeCell ref="C29:G29"/>
    <mergeCell ref="C30:D30"/>
    <mergeCell ref="C31:G31"/>
    <mergeCell ref="C32:D32"/>
    <mergeCell ref="C33:G33"/>
    <mergeCell ref="C34:D34"/>
    <mergeCell ref="C35:G35"/>
    <mergeCell ref="B38:C38"/>
    <mergeCell ref="B39:C39"/>
    <mergeCell ref="B41:D41"/>
    <mergeCell ref="B37:G37"/>
    <mergeCell ref="E38:G38"/>
    <mergeCell ref="E39:G39"/>
    <mergeCell ref="E40:G40"/>
    <mergeCell ref="E41:G41"/>
    <mergeCell ref="B43:G43"/>
    <mergeCell ref="B46:C46"/>
    <mergeCell ref="B47:C47"/>
    <mergeCell ref="D46:E46"/>
    <mergeCell ref="D47:E47"/>
    <mergeCell ref="F46:G46"/>
    <mergeCell ref="F47:G47"/>
    <mergeCell ref="B49:D49"/>
    <mergeCell ref="B51:G51"/>
    <mergeCell ref="B52:G52"/>
    <mergeCell ref="B6:G6"/>
  </mergeCells>
  <dataValidations count="1">
    <dataValidation type="list" allowBlank="1" showInputMessage="1" showErrorMessage="1" promptTitle="El valor que acuerda el panel" prompt="No hay respuesta correcta individual: hay una respuesta acordada. Discútanla y escríbanla." errorTitle="Valor no admitido" error="No hay respuesta correcta individual: hay una respuesta acordada. Discútanla y escríbanla." sqref="D9:D23">
      <formula1>"0,1,2,3,4,Sí,No"</formula1>
    </dataValidation>
  </dataValidations>
  <hyperlinks>
    <hyperlink ref="B2" location="'01 · Encuadre'!A1" display="Encuadre"/>
    <hyperlink ref="C2" location="'02 · Variables'!A1" display="Variables"/>
    <hyperlink ref="D2" location="'03 · Criterio'!A1" display="Criterio"/>
    <hyperlink ref="E2" location="'04 · Matriz'!A1" display="Matriz"/>
    <hyperlink ref="F2" location="'05 · Resultado'!A1" display="Resultado"/>
    <hyperlink ref="G2" location="'Comprobación'!A1" display="Revisión"/>
    <hyperlink ref="G2" location="'06 · Informe'!A1" display="Informe"/>
    <hyperlink ref="G2" location="Inicio!A1" display="Inicio"/>
    <hyperlink ref="B49" location="'04 · Matriz'!A1" display="CONTINUAR AL PASO 4   ▶"/>
  </hyperlinks>
  <pageMargins left="0.4" right="0.4" top="0.5" bottom="0.5" header="0.3" footer="0.3"/>
  <pageSetup paperSize="9" scale="100" fitToWidth="1" fitToHeight="0" orientation="portrait"/>
  <headerFooter>
    <oddFooter>&amp;L&amp;"Aptos,Regular"&amp;8&amp;K94A0AEIntelKIT · MICMAC Essentials v1.0&amp;R&amp;"Aptos,Regular"&amp;8&amp;K94A0AEPágina &amp;P de &amp;N</oddFooter>
  </headerFooter>
</worksheet>
</file>

<file path=xl/worksheets/sheet26.xml><?xml version="1.0" encoding="utf-8"?>
<worksheet xmlns="http://schemas.openxmlformats.org/spreadsheetml/2006/main" xmlns:r="http://schemas.openxmlformats.org/officeDocument/2006/relationships">
  <sheetPr>
    <tabColor rgb="FF3A3F9E"/>
    <pageSetUpPr fitToPage="1"/>
  </sheetPr>
  <dimension ref="A1:AE128"/>
  <sheetViews>
    <sheetView showGridLines="0" zoomScaleNormal="100" workbookViewId="0">
      <pane ySplit="6" topLeftCell="A7" activePane="bottomLeft" state="frozen"/>
    </sheetView>
  </sheetViews>
  <sheetFormatPr baseColWidth="10" defaultRowHeight="15"/>
  <cols>
    <col min="1" max="1" width="2" customWidth="1"/>
    <col min="2" max="2" width="4.4" customWidth="1"/>
    <col min="3" max="3" width="4.4" customWidth="1"/>
    <col min="4" max="4" width="4.4" customWidth="1"/>
    <col min="5" max="5" width="4.4" customWidth="1"/>
    <col min="6" max="6" width="4.4" customWidth="1"/>
    <col min="7" max="7" width="4.4" customWidth="1"/>
    <col min="8" max="8" width="4.4" customWidth="1"/>
    <col min="9" max="9" width="4.4" customWidth="1"/>
    <col min="10" max="10" width="4.4" customWidth="1"/>
    <col min="11" max="11" width="4.4" customWidth="1"/>
    <col min="12" max="12" width="4.4" customWidth="1"/>
    <col min="13" max="13" width="4.4" customWidth="1"/>
    <col min="14" max="14" width="4.4" customWidth="1"/>
    <col min="15" max="15" width="4.4" customWidth="1"/>
    <col min="16" max="16" width="4.4" customWidth="1"/>
    <col min="17" max="17" width="4.4" customWidth="1"/>
    <col min="18" max="18" width="4.4" customWidth="1"/>
    <col min="19" max="19" width="4.4" customWidth="1"/>
    <col min="20" max="20" width="4.4" customWidth="1"/>
    <col min="21" max="21" width="4.4" customWidth="1"/>
    <col min="22" max="22" width="4.4" customWidth="1"/>
    <col min="23" max="23" width="4.4" customWidth="1"/>
    <col min="24" max="24" width="4.4" customWidth="1"/>
    <col min="25" max="25" width="4.4" customWidth="1"/>
    <col min="26" max="26" width="4.4" customWidth="1"/>
    <col min="27" max="27" width="4.4" customWidth="1"/>
    <col min="28" max="28" width="4.4" customWidth="1"/>
    <col min="29" max="29" width="4.4" customWidth="1"/>
    <col min="30" max="30" width="4.4" customWidth="1"/>
    <col min="31" max="31" width="4.4" customWidth="1"/>
    <col min="32" max="34" width="3" customWidth="1" hidden="1"/>
    <col min="32" max="34" width="3" customWidth="1" hidden="1"/>
    <col min="36" max="40" width="3" customWidth="1" hidden="1"/>
  </cols>
  <sheetData>
    <row r="1" ht="28" customHeight="1">
      <c r="A1" s="157"/>
      <c r="B1" s="157" t="inlineStr">
        <is>
          <t xml:space="preserve">MICMAC  ESSENTIALS</t>
        </is>
      </c>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8" t="inlineStr">
        <is>
          <t xml:space="preserve">Paso 5 de 7</t>
        </is>
      </c>
    </row>
    <row r="2" ht="24" customHeight="1">
      <c r="B2" s="161">
        <f>IF(COUNTA('01 · Encuadre'!$B$10,'01 · Encuadre'!$B$14,'01 · Encuadre'!$B$18,'01 · Encuadre'!$B$22)=4,"✓ 1 · Encuadre","1 · Encuadre")</f>
      </c>
      <c r="C2" s="162"/>
      <c r="D2" s="162"/>
      <c r="E2" s="162"/>
      <c r="F2" s="161">
        <f>IF(COUNTA('02 · Variables'!$C$7:$C$31)&gt;=8,"✓ 2 · Variables","2 · Variables")</f>
      </c>
      <c r="G2" s="162"/>
      <c r="H2" s="162"/>
      <c r="I2" s="162"/>
      <c r="J2" s="161">
        <f>IF(COUNTA('03 · Criterio'!$D$9:$D$23)=8,"✓ 3 · Criterio","3 · Criterio")</f>
      </c>
      <c r="K2" s="162"/>
      <c r="L2" s="162"/>
      <c r="M2" s="162"/>
      <c r="N2" s="161">
        <f>IF((SUMPRODUCT((ROW('04 · Matriz'!$C$6:$AA$30)-5&lt;=Var_N)*(COLUMN('04 · Matriz'!$C$6:$AA$30)-2&lt;=Var_N)*('04 · Matriz'!$C$6:$AA$30&lt;&gt;""))-Var_N&gt;=Ind_Preguntas),"✓ 4 · Matriz","4 · Matriz")</f>
      </c>
      <c r="O2" s="162"/>
      <c r="P2" s="162"/>
      <c r="Q2" s="162"/>
      <c r="R2" s="160" t="inlineStr">
        <is>
          <t xml:space="preserve"> 5 · Resultado </t>
        </is>
      </c>
      <c r="S2" s="162"/>
      <c r="T2" s="162"/>
      <c r="U2" s="162"/>
      <c r="V2" s="162">
        <f>IF((SUMPRODUCT((ROW('04 · Matriz'!$C$6:$AA$30)-5&lt;=Var_N)*(COLUMN('04 · Matriz'!$C$6:$AA$30)-2&lt;=Var_N)*('04 · Matriz'!$C$6:$AA$30&lt;&gt;""))-Var_N&gt;=Ind_Preguntas),"✓ 6 · Revisión","6 · Revisión")</f>
      </c>
      <c r="W2" s="162"/>
      <c r="X2" s="162"/>
      <c r="Y2" s="162"/>
      <c r="Z2" s="162">
        <f>IF((SUMPRODUCT((ROW('04 · Matriz'!$C$6:$AA$30)-5&lt;=Var_N)*(COLUMN('04 · Matriz'!$C$6:$AA$30)-2&lt;=Var_N)*('04 · Matriz'!$C$6:$AA$30&lt;&gt;""))-Var_N&gt;=Ind_Preguntas),"✓ 7 · Informe","7 · Informe")</f>
      </c>
      <c r="AA2" s="162"/>
      <c r="AB2" s="162" t="inlineStr">
        <is>
          <t xml:space="preserve">◀ Inicio</t>
        </is>
      </c>
      <c r="AC2" s="162"/>
      <c r="AD2" s="162"/>
      <c r="AE2" s="162"/>
    </row>
    <row r="3" ht="38" customHeight="1">
      <c r="B3" s="163" t="inlineStr">
        <is>
          <t xml:space="preserve">Esto es lo que dice su análisis</t>
        </is>
      </c>
    </row>
    <row r="4" ht="24" customHeight="1">
      <c r="B4" s="195" t="inlineStr">
        <is>
          <t xml:space="preserve">Interpretación automática con los datos de su estudio.</t>
        </is>
      </c>
    </row>
    <row r="5" ht="30" customHeight="1">
      <c r="B5" s="199" t="inlineStr">
        <is>
          <t xml:space="preserve">Por qué importa: la primera lectura es la que casi nadie ve venir. Son los factores que influyen mucho más de lo que su panel declaró, y aparecen solo al encadenar las relaciones.</t>
        </is>
      </c>
    </row>
    <row r="6" ht="10" customHeight="1">
      <c r="B6" s="204"/>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row>
    <row r="7" ht="22" customHeight="1">
      <c r="B7" s="146">
        <f>IF(Var_N&lt;2,"● Aún no hay datos suficientes",IF((SUMPRODUCT((ROW('04 · Matriz'!$C$6:$AA$30)-5&lt;=Var_N)*(COLUMN('04 · Matriz'!$C$6:$AA$30)-2&lt;=Var_N)*('04 · Matriz'!$C$6:$AA$30&lt;&gt;""))-Var_N&gt;=Ind_Preguntas),"● Lectura definitiva","● Lectura provisional"))</f>
      </c>
      <c r="C7" s="146"/>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146"/>
    </row>
    <row r="8" ht="24" customHeight="1">
      <c r="B8" s="145">
        <f>IF(Var_N&lt;2,"Defina al menos 8 factores en el paso 2 para poder analizar el sistema.",IF((SUMPRODUCT((ROW('04 · Matriz'!$C$6:$AA$30)-5&lt;=Var_N)*(COLUMN('04 · Matriz'!$C$6:$AA$30)-2&lt;=Var_N)*('04 · Matriz'!$C$6:$AA$30&lt;&gt;""))-Var_N&gt;=Ind_Preguntas),"La matriz está completa: estas cifras son definitivas.","Faltan "&amp;MAX(0,Ind_Preguntas-(SUMPRODUCT((ROW('04 · Matriz'!$C$6:$AA$30)-5&lt;=Var_N)*(COLUMN('04 · Matriz'!$C$6:$AA$30)-2&lt;=Var_N)*('04 · Matriz'!$C$6:$AA$30&lt;&gt;""))-Var_N))&amp;" valoraciones de "&amp;Ind_Preguntas&amp;". Las cifras cambiarán."))</f>
      </c>
      <c r="C8" s="145"/>
      <c r="D8" s="145"/>
      <c r="E8" s="145"/>
      <c r="F8" s="145"/>
      <c r="G8" s="145"/>
      <c r="H8" s="145"/>
      <c r="I8" s="145"/>
      <c r="J8" s="145"/>
      <c r="K8" s="145"/>
      <c r="L8" s="145"/>
      <c r="M8" s="145"/>
      <c r="N8" s="145"/>
      <c r="O8" s="145"/>
      <c r="P8" s="145"/>
      <c r="Q8" s="145"/>
      <c r="R8" s="145"/>
      <c r="S8" s="145"/>
      <c r="T8" s="145"/>
      <c r="U8" s="145"/>
      <c r="V8" s="145"/>
      <c r="W8" s="145"/>
      <c r="X8" s="145"/>
      <c r="Y8" s="145"/>
      <c r="Z8" s="145"/>
      <c r="AA8" s="145"/>
      <c r="AB8" s="145"/>
      <c r="AC8" s="145"/>
      <c r="AD8" s="145"/>
      <c r="AE8" s="145"/>
      <c r="AJ8" s="191">
        <f>IF(1&gt;Var_N,"",COUNTIF(Res_Motricidad,"&gt;"&amp;INDEX(Res_Motricidad,1))+COUNTIF(OFFSET(Res_Motricidad,0,0,1,1),INDEX(Res_Motricidad,1)))</f>
      </c>
      <c r="AK8" s="191">
        <f>IF(1&gt;Var_N,"",COUNTIF(Res_Dependencia,"&gt;"&amp;INDEX(Res_Dependencia,1))+COUNTIF(OFFSET(Res_Dependencia,0,0,1,1),INDEX(Res_Dependencia,1)))</f>
      </c>
      <c r="AL8" s="191">
        <f>IF(1&gt;Var_N,"",MAX(0,MIN(18-1,INT(INDEX(Res_Dependencia,1)/MAX(1,MAX(Res_Dependencia))*18)))*100+MAX(0,MIN(12-1,12-1-INT(INDEX(Res_Motricidad,1)/MAX(1,MAX(Res_Motricidad))*12))))</f>
      </c>
      <c r="AM8" s="191">
        <f>IF(1&gt;Var_N,"",COUNTIF(Ind_Motricidad,"&gt;"&amp;INDEX(Ind_Motricidad,1))+COUNTIF(OFFSET(Ind_Motricidad,0,0,1,1),INDEX(Ind_Motricidad,1)))</f>
      </c>
      <c r="AN8" s="191">
        <f>IF(1&gt;Var_N,0,IF(INDEX(Res_RangoMot,1)-INDEX(Ind_RangoMot,1)&gt;=2,1,0))</f>
      </c>
    </row>
    <row r="9" ht="20" customHeight="1">
      <c r="B9" s="199" t="inlineStr">
        <is>
          <t xml:space="preserve">Todo lo que sigue lo ha calculado MICMAC a partir de la matriz del paso 4. En esta hoja no hay ningún dato escrito a mano.</t>
        </is>
      </c>
      <c r="AJ9" s="191">
        <f>IF(2&gt;Var_N,"",COUNTIF(Res_Motricidad,"&gt;"&amp;INDEX(Res_Motricidad,2))+COUNTIF(OFFSET(Res_Motricidad,0,0,2,1),INDEX(Res_Motricidad,2)))</f>
      </c>
      <c r="AK9" s="191">
        <f>IF(2&gt;Var_N,"",COUNTIF(Res_Dependencia,"&gt;"&amp;INDEX(Res_Dependencia,2))+COUNTIF(OFFSET(Res_Dependencia,0,0,2,1),INDEX(Res_Dependencia,2)))</f>
      </c>
      <c r="AL9" s="191">
        <f>IF(2&gt;Var_N,"",MAX(0,MIN(18-1,INT(INDEX(Res_Dependencia,2)/MAX(1,MAX(Res_Dependencia))*18)))*100+MAX(0,MIN(12-1,12-1-INT(INDEX(Res_Motricidad,2)/MAX(1,MAX(Res_Motricidad))*12))))</f>
      </c>
      <c r="AM9" s="191">
        <f>IF(2&gt;Var_N,"",COUNTIF(Ind_Motricidad,"&gt;"&amp;INDEX(Ind_Motricidad,2))+COUNTIF(OFFSET(Ind_Motricidad,0,0,2,1),INDEX(Ind_Motricidad,2)))</f>
      </c>
      <c r="AN9" s="191">
        <f>IF(2&gt;Var_N,0,IF(INDEX(Res_RangoMot,2)-INDEX(Ind_RangoMot,2)&gt;=2,1,0))</f>
      </c>
    </row>
    <row r="10" ht="20" customHeight="1">
      <c r="B10" s="192" t="inlineStr">
        <is>
          <t xml:space="preserve">RESUMEN EJECUTIVO</t>
        </is>
      </c>
      <c r="C10" s="192"/>
      <c r="D10" s="192"/>
      <c r="E10" s="192"/>
      <c r="F10" s="192"/>
      <c r="G10" s="192"/>
      <c r="H10" s="192"/>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J10" s="191">
        <f>IF(3&gt;Var_N,"",COUNTIF(Res_Motricidad,"&gt;"&amp;INDEX(Res_Motricidad,3))+COUNTIF(OFFSET(Res_Motricidad,0,0,3,1),INDEX(Res_Motricidad,3)))</f>
      </c>
      <c r="AK10" s="191">
        <f>IF(3&gt;Var_N,"",COUNTIF(Res_Dependencia,"&gt;"&amp;INDEX(Res_Dependencia,3))+COUNTIF(OFFSET(Res_Dependencia,0,0,3,1),INDEX(Res_Dependencia,3)))</f>
      </c>
      <c r="AL10" s="191">
        <f>IF(3&gt;Var_N,"",MAX(0,MIN(18-1,INT(INDEX(Res_Dependencia,3)/MAX(1,MAX(Res_Dependencia))*18)))*100+MAX(0,MIN(12-1,12-1-INT(INDEX(Res_Motricidad,3)/MAX(1,MAX(Res_Motricidad))*12))))</f>
      </c>
      <c r="AM10" s="191">
        <f>IF(3&gt;Var_N,"",COUNTIF(Ind_Motricidad,"&gt;"&amp;INDEX(Ind_Motricidad,3))+COUNTIF(OFFSET(Ind_Motricidad,0,0,3,1),INDEX(Ind_Motricidad,3)))</f>
      </c>
      <c r="AN10" s="191">
        <f>IF(3&gt;Var_N,0,IF(INDEX(Res_RangoMot,3)-INDEX(Ind_RangoMot,3)&gt;=2,1,0))</f>
      </c>
    </row>
    <row r="11" ht="42" customHeight="1">
      <c r="B11" s="198">
        <f>IF(Var_N&lt;2,"Sin datos suficientes.","De los "&amp;Var_N&amp;" factores analizados, "&amp;COUNTIF(Res_Tipologia,"1 · Entrada / determinante")+COUNTIF(Res_Tipologia,"2 · Intermedia / de enlace")&amp;IF(COUNTIF(Res_Tipologia,"1 · Entrada / determinante")+COUNTIF(Res_Tipologia,"2 · Intermedia / de enlace")=1," gobierna"," gobiernan")&amp;" el sistema: "&amp;COUNTIF(Res_Tipologia,"1 · Entrada / determinante")&amp;IF(COUNTIF(Res_Tipologia,"1 · Entrada / determinante")=1," actúa"," actúan")&amp;" como motor sin recibir apenas influencia y "&amp;COUNTIF(Res_Tipologia,"2 · Intermedia / de enlace")&amp;IF(COUNTIF(Res_Tipologia,"2 · Intermedia / de enlace")=1," es un punto"," son puntos")&amp;" de enlace donde todo cambio se propaga.")</f>
      </c>
      <c r="C11" s="198"/>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c r="AB11" s="198"/>
      <c r="AC11" s="198"/>
      <c r="AD11" s="198"/>
      <c r="AE11" s="198"/>
      <c r="AJ11" s="191">
        <f>IF(4&gt;Var_N,"",COUNTIF(Res_Motricidad,"&gt;"&amp;INDEX(Res_Motricidad,4))+COUNTIF(OFFSET(Res_Motricidad,0,0,4,1),INDEX(Res_Motricidad,4)))</f>
      </c>
      <c r="AK11" s="191">
        <f>IF(4&gt;Var_N,"",COUNTIF(Res_Dependencia,"&gt;"&amp;INDEX(Res_Dependencia,4))+COUNTIF(OFFSET(Res_Dependencia,0,0,4,1),INDEX(Res_Dependencia,4)))</f>
      </c>
      <c r="AL11" s="191">
        <f>IF(4&gt;Var_N,"",MAX(0,MIN(18-1,INT(INDEX(Res_Dependencia,4)/MAX(1,MAX(Res_Dependencia))*18)))*100+MAX(0,MIN(12-1,12-1-INT(INDEX(Res_Motricidad,4)/MAX(1,MAX(Res_Motricidad))*12))))</f>
      </c>
      <c r="AM11" s="191">
        <f>IF(4&gt;Var_N,"",COUNTIF(Ind_Motricidad,"&gt;"&amp;INDEX(Ind_Motricidad,4))+COUNTIF(OFFSET(Ind_Motricidad,0,0,4,1),INDEX(Ind_Motricidad,4)))</f>
      </c>
      <c r="AN11" s="191">
        <f>IF(4&gt;Var_N,0,IF(INDEX(Res_RangoMot,4)-INDEX(Ind_RangoMot,4)&gt;=2,1,0))</f>
      </c>
    </row>
    <row r="12" ht="38" customHeight="1">
      <c r="B12" s="196">
        <f>IF(Var_N&lt;2,"","El factor más determinante es "&amp;IFERROR(INDEX(Res_Nombre,MATCH(1,$AJ$8:$AJ$32,0)),"")&amp;", que influye sobre "&amp;IFERROR(INDEX(Res_Motricidad,MATCH(1,$AJ$8:$AJ$32,0)),"")&amp;" de los demás. El más dependiente es "&amp;IFERROR(INDEX(Res_Nombre,MATCH(1,$AK$8:$AK$32,0)),"")&amp;", que recibe influencia de "&amp;IFERROR(INDEX(Res_Dependencia,MATCH(1,$AK$8:$AK$32,0)),"")&amp;". La densidad de la matriz es del "&amp;ROUND(Ind_Densidad*100,1)&amp;" %"&amp;IF(AND(Ind_Densidad&gt;=0.2,Ind_Densidad&lt;=0.25),", dentro de lo esperable.",", fuera del rango habitual del 20 % al 25 %: conviene explicarlo en el informe."))</f>
      </c>
      <c r="C12" s="196"/>
      <c r="D12" s="196"/>
      <c r="E12" s="196"/>
      <c r="F12" s="196"/>
      <c r="G12" s="196"/>
      <c r="H12" s="196"/>
      <c r="I12" s="196"/>
      <c r="J12" s="196"/>
      <c r="K12" s="196"/>
      <c r="L12" s="196"/>
      <c r="M12" s="196"/>
      <c r="N12" s="196"/>
      <c r="O12" s="196"/>
      <c r="P12" s="196"/>
      <c r="Q12" s="196"/>
      <c r="R12" s="196"/>
      <c r="S12" s="196"/>
      <c r="T12" s="196"/>
      <c r="U12" s="196"/>
      <c r="V12" s="196"/>
      <c r="W12" s="196"/>
      <c r="X12" s="196"/>
      <c r="Y12" s="196"/>
      <c r="Z12" s="196"/>
      <c r="AA12" s="196"/>
      <c r="AB12" s="196"/>
      <c r="AC12" s="196"/>
      <c r="AD12" s="196"/>
      <c r="AE12" s="196"/>
      <c r="AJ12" s="191">
        <f>IF(5&gt;Var_N,"",COUNTIF(Res_Motricidad,"&gt;"&amp;INDEX(Res_Motricidad,5))+COUNTIF(OFFSET(Res_Motricidad,0,0,5,1),INDEX(Res_Motricidad,5)))</f>
      </c>
      <c r="AK12" s="191">
        <f>IF(5&gt;Var_N,"",COUNTIF(Res_Dependencia,"&gt;"&amp;INDEX(Res_Dependencia,5))+COUNTIF(OFFSET(Res_Dependencia,0,0,5,1),INDEX(Res_Dependencia,5)))</f>
      </c>
      <c r="AL12" s="191">
        <f>IF(5&gt;Var_N,"",MAX(0,MIN(18-1,INT(INDEX(Res_Dependencia,5)/MAX(1,MAX(Res_Dependencia))*18)))*100+MAX(0,MIN(12-1,12-1-INT(INDEX(Res_Motricidad,5)/MAX(1,MAX(Res_Motricidad))*12))))</f>
      </c>
      <c r="AM12" s="191">
        <f>IF(5&gt;Var_N,"",COUNTIF(Ind_Motricidad,"&gt;"&amp;INDEX(Ind_Motricidad,5))+COUNTIF(OFFSET(Ind_Motricidad,0,0,5,1),INDEX(Ind_Motricidad,5)))</f>
      </c>
      <c r="AN12" s="191">
        <f>IF(5&gt;Var_N,0,IF(INDEX(Res_RangoMot,5)-INDEX(Ind_RangoMot,5)&gt;=2,1,0))</f>
      </c>
    </row>
    <row r="13" ht="20" customHeight="1">
      <c r="B13" s="199" t="inlineStr">
        <is>
          <t xml:space="preserve">La densidad es la proporción de relaciones no nulas sobre las noventa posibles. Aquí es del 35,6 %: el sistema está más interconectado de lo habitual.</t>
        </is>
      </c>
      <c r="AJ13" s="191">
        <f>IF(6&gt;Var_N,"",COUNTIF(Res_Motricidad,"&gt;"&amp;INDEX(Res_Motricidad,6))+COUNTIF(OFFSET(Res_Motricidad,0,0,6,1),INDEX(Res_Motricidad,6)))</f>
      </c>
      <c r="AK13" s="191">
        <f>IF(6&gt;Var_N,"",COUNTIF(Res_Dependencia,"&gt;"&amp;INDEX(Res_Dependencia,6))+COUNTIF(OFFSET(Res_Dependencia,0,0,6,1),INDEX(Res_Dependencia,6)))</f>
      </c>
      <c r="AL13" s="191">
        <f>IF(6&gt;Var_N,"",MAX(0,MIN(18-1,INT(INDEX(Res_Dependencia,6)/MAX(1,MAX(Res_Dependencia))*18)))*100+MAX(0,MIN(12-1,12-1-INT(INDEX(Res_Motricidad,6)/MAX(1,MAX(Res_Motricidad))*12))))</f>
      </c>
      <c r="AM13" s="191">
        <f>IF(6&gt;Var_N,"",COUNTIF(Ind_Motricidad,"&gt;"&amp;INDEX(Ind_Motricidad,6))+COUNTIF(OFFSET(Ind_Motricidad,0,0,6,1),INDEX(Ind_Motricidad,6)))</f>
      </c>
      <c r="AN13" s="191">
        <f>IF(6&gt;Var_N,0,IF(INDEX(Res_RangoMot,6)-INDEX(Ind_RangoMot,6)&gt;=2,1,0))</f>
      </c>
    </row>
    <row r="14">
      <c r="B14" s="192" t="inlineStr">
        <is>
          <t xml:space="preserve">LAS CIFRAS DEL SISTEMA</t>
        </is>
      </c>
      <c r="C14" s="192"/>
      <c r="D14" s="192"/>
      <c r="E14" s="192"/>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J14" s="191">
        <f>IF(7&gt;Var_N,"",COUNTIF(Res_Motricidad,"&gt;"&amp;INDEX(Res_Motricidad,7))+COUNTIF(OFFSET(Res_Motricidad,0,0,7,1),INDEX(Res_Motricidad,7)))</f>
      </c>
      <c r="AK14" s="191">
        <f>IF(7&gt;Var_N,"",COUNTIF(Res_Dependencia,"&gt;"&amp;INDEX(Res_Dependencia,7))+COUNTIF(OFFSET(Res_Dependencia,0,0,7,1),INDEX(Res_Dependencia,7)))</f>
      </c>
      <c r="AL14" s="191">
        <f>IF(7&gt;Var_N,"",MAX(0,MIN(18-1,INT(INDEX(Res_Dependencia,7)/MAX(1,MAX(Res_Dependencia))*18)))*100+MAX(0,MIN(12-1,12-1-INT(INDEX(Res_Motricidad,7)/MAX(1,MAX(Res_Motricidad))*12))))</f>
      </c>
      <c r="AM14" s="191">
        <f>IF(7&gt;Var_N,"",COUNTIF(Ind_Motricidad,"&gt;"&amp;INDEX(Ind_Motricidad,7))+COUNTIF(OFFSET(Ind_Motricidad,0,0,7,1),INDEX(Ind_Motricidad,7)))</f>
      </c>
      <c r="AN14" s="191">
        <f>IF(7&gt;Var_N,0,IF(INDEX(Res_RangoMot,7)-INDEX(Ind_RangoMot,7)&gt;=2,1,0))</f>
      </c>
    </row>
    <row r="15" ht="42" customHeight="1">
      <c r="B15" s="189">
        <f>Var_N</f>
      </c>
      <c r="C15" s="189"/>
      <c r="D15" s="189"/>
      <c r="E15" s="189"/>
      <c r="F15" s="189"/>
      <c r="G15" s="189"/>
      <c r="H15" s="189">
        <f>Ind_Preguntas</f>
      </c>
      <c r="I15" s="189"/>
      <c r="J15" s="189"/>
      <c r="K15" s="189"/>
      <c r="L15" s="189"/>
      <c r="M15" s="189"/>
      <c r="N15" s="189">
        <f>Ind_NoNulas</f>
      </c>
      <c r="O15" s="189"/>
      <c r="P15" s="189"/>
      <c r="Q15" s="189"/>
      <c r="R15" s="189"/>
      <c r="S15" s="189"/>
      <c r="T15" s="190">
        <f>Ind_Densidad</f>
      </c>
      <c r="U15" s="190"/>
      <c r="V15" s="190"/>
      <c r="W15" s="190"/>
      <c r="X15" s="190"/>
      <c r="Y15" s="190"/>
      <c r="Z15" s="189">
        <f>Ind_Potenciales</f>
      </c>
      <c r="AA15" s="189"/>
      <c r="AB15" s="189"/>
      <c r="AC15" s="189"/>
      <c r="AD15" s="189"/>
      <c r="AE15" s="189"/>
      <c r="AJ15" s="191">
        <f>IF(8&gt;Var_N,"",COUNTIF(Res_Motricidad,"&gt;"&amp;INDEX(Res_Motricidad,8))+COUNTIF(OFFSET(Res_Motricidad,0,0,8,1),INDEX(Res_Motricidad,8)))</f>
      </c>
      <c r="AK15" s="191">
        <f>IF(8&gt;Var_N,"",COUNTIF(Res_Dependencia,"&gt;"&amp;INDEX(Res_Dependencia,8))+COUNTIF(OFFSET(Res_Dependencia,0,0,8,1),INDEX(Res_Dependencia,8)))</f>
      </c>
      <c r="AL15" s="191">
        <f>IF(8&gt;Var_N,"",MAX(0,MIN(18-1,INT(INDEX(Res_Dependencia,8)/MAX(1,MAX(Res_Dependencia))*18)))*100+MAX(0,MIN(12-1,12-1-INT(INDEX(Res_Motricidad,8)/MAX(1,MAX(Res_Motricidad))*12))))</f>
      </c>
      <c r="AM15" s="191">
        <f>IF(8&gt;Var_N,"",COUNTIF(Ind_Motricidad,"&gt;"&amp;INDEX(Ind_Motricidad,8))+COUNTIF(OFFSET(Ind_Motricidad,0,0,8,1),INDEX(Ind_Motricidad,8)))</f>
      </c>
      <c r="AN15" s="191">
        <f>IF(8&gt;Var_N,0,IF(INDEX(Res_RangoMot,8)-INDEX(Ind_RangoMot,8)&gt;=2,1,0))</f>
      </c>
    </row>
    <row r="16" ht="18" customHeight="1">
      <c r="B16" s="192" t="inlineStr">
        <is>
          <t xml:space="preserve">factores</t>
        </is>
      </c>
      <c r="C16" s="192"/>
      <c r="D16" s="192"/>
      <c r="E16" s="192"/>
      <c r="F16" s="192"/>
      <c r="G16" s="192"/>
      <c r="H16" s="192" t="inlineStr">
        <is>
          <t xml:space="preserve">pares posibles</t>
        </is>
      </c>
      <c r="I16" s="192"/>
      <c r="J16" s="192"/>
      <c r="K16" s="192"/>
      <c r="L16" s="192"/>
      <c r="M16" s="192"/>
      <c r="N16" s="192" t="inlineStr">
        <is>
          <t xml:space="preserve">con influencia</t>
        </is>
      </c>
      <c r="O16" s="192"/>
      <c r="P16" s="192"/>
      <c r="Q16" s="192"/>
      <c r="R16" s="192"/>
      <c r="S16" s="192"/>
      <c r="T16" s="192" t="inlineStr">
        <is>
          <t xml:space="preserve">densidad</t>
        </is>
      </c>
      <c r="U16" s="192"/>
      <c r="V16" s="192"/>
      <c r="W16" s="192"/>
      <c r="X16" s="192"/>
      <c r="Y16" s="192"/>
      <c r="Z16" s="192" t="inlineStr">
        <is>
          <t xml:space="preserve">potenciales</t>
        </is>
      </c>
      <c r="AA16" s="192"/>
      <c r="AB16" s="192"/>
      <c r="AC16" s="192"/>
      <c r="AD16" s="192"/>
      <c r="AE16" s="192"/>
      <c r="AJ16" s="191">
        <f>IF(9&gt;Var_N,"",COUNTIF(Res_Motricidad,"&gt;"&amp;INDEX(Res_Motricidad,9))+COUNTIF(OFFSET(Res_Motricidad,0,0,9,1),INDEX(Res_Motricidad,9)))</f>
      </c>
      <c r="AK16" s="191">
        <f>IF(9&gt;Var_N,"",COUNTIF(Res_Dependencia,"&gt;"&amp;INDEX(Res_Dependencia,9))+COUNTIF(OFFSET(Res_Dependencia,0,0,9,1),INDEX(Res_Dependencia,9)))</f>
      </c>
      <c r="AL16" s="191">
        <f>IF(9&gt;Var_N,"",MAX(0,MIN(18-1,INT(INDEX(Res_Dependencia,9)/MAX(1,MAX(Res_Dependencia))*18)))*100+MAX(0,MIN(12-1,12-1-INT(INDEX(Res_Motricidad,9)/MAX(1,MAX(Res_Motricidad))*12))))</f>
      </c>
      <c r="AM16" s="191">
        <f>IF(9&gt;Var_N,"",COUNTIF(Ind_Motricidad,"&gt;"&amp;INDEX(Ind_Motricidad,9))+COUNTIF(OFFSET(Ind_Motricidad,0,0,9,1),INDEX(Ind_Motricidad,9)))</f>
      </c>
      <c r="AN16" s="191">
        <f>IF(9&gt;Var_N,0,IF(INDEX(Res_RangoMot,9)-INDEX(Ind_RangoMot,9)&gt;=2,1,0))</f>
      </c>
    </row>
    <row r="17" ht="20" customHeight="1">
      <c r="B17" s="199" t="inlineStr">
        <is>
          <t xml:space="preserve">Influencia es cuánto afecta un factor a los demás. Dependencia es cuánto le afectan a él. El plano cruza ambas magnitudes.</t>
        </is>
      </c>
      <c r="AJ17" s="191">
        <f>IF(10&gt;Var_N,"",COUNTIF(Res_Motricidad,"&gt;"&amp;INDEX(Res_Motricidad,10))+COUNTIF(OFFSET(Res_Motricidad,0,0,10,1),INDEX(Res_Motricidad,10)))</f>
      </c>
      <c r="AK17" s="191">
        <f>IF(10&gt;Var_N,"",COUNTIF(Res_Dependencia,"&gt;"&amp;INDEX(Res_Dependencia,10))+COUNTIF(OFFSET(Res_Dependencia,0,0,10,1),INDEX(Res_Dependencia,10)))</f>
      </c>
      <c r="AL17" s="191">
        <f>IF(10&gt;Var_N,"",MAX(0,MIN(18-1,INT(INDEX(Res_Dependencia,10)/MAX(1,MAX(Res_Dependencia))*18)))*100+MAX(0,MIN(12-1,12-1-INT(INDEX(Res_Motricidad,10)/MAX(1,MAX(Res_Motricidad))*12))))</f>
      </c>
      <c r="AM17" s="191">
        <f>IF(10&gt;Var_N,"",COUNTIF(Ind_Motricidad,"&gt;"&amp;INDEX(Ind_Motricidad,10))+COUNTIF(OFFSET(Ind_Motricidad,0,0,10,1),INDEX(Ind_Motricidad,10)))</f>
      </c>
      <c r="AN17" s="191">
        <f>IF(10&gt;Var_N,0,IF(INDEX(Res_RangoMot,10)-INDEX(Ind_RangoMot,10)&gt;=2,1,0))</f>
      </c>
    </row>
    <row r="18" ht="20" customHeight="1">
      <c r="B18" s="192" t="inlineStr">
        <is>
          <t xml:space="preserve">EL PLANO DE INFLUENCIA Y DEPENDENCIA</t>
        </is>
      </c>
      <c r="C18" s="192"/>
      <c r="D18" s="192"/>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J18" s="191">
        <f>IF(11&gt;Var_N,"",COUNTIF(Res_Motricidad,"&gt;"&amp;INDEX(Res_Motricidad,11))+COUNTIF(OFFSET(Res_Motricidad,0,0,11,1),INDEX(Res_Motricidad,11)))</f>
      </c>
      <c r="AK18" s="191">
        <f>IF(11&gt;Var_N,"",COUNTIF(Res_Dependencia,"&gt;"&amp;INDEX(Res_Dependencia,11))+COUNTIF(OFFSET(Res_Dependencia,0,0,11,1),INDEX(Res_Dependencia,11)))</f>
      </c>
      <c r="AL18" s="191">
        <f>IF(11&gt;Var_N,"",MAX(0,MIN(18-1,INT(INDEX(Res_Dependencia,11)/MAX(1,MAX(Res_Dependencia))*18)))*100+MAX(0,MIN(12-1,12-1-INT(INDEX(Res_Motricidad,11)/MAX(1,MAX(Res_Motricidad))*12))))</f>
      </c>
      <c r="AM18" s="191">
        <f>IF(11&gt;Var_N,"",COUNTIF(Ind_Motricidad,"&gt;"&amp;INDEX(Ind_Motricidad,11))+COUNTIF(OFFSET(Ind_Motricidad,0,0,11,1),INDEX(Ind_Motricidad,11)))</f>
      </c>
      <c r="AN18" s="191">
        <f>IF(11&gt;Var_N,0,IF(INDEX(Res_RangoMot,11)-INDEX(Ind_RangoMot,11)&gt;=2,1,0))</f>
      </c>
    </row>
    <row r="19" ht="20" customHeight="1">
      <c r="B19" s="203">
        <f>IF(SUM(Res_Motricidad)=0,"No hay ninguna influencia directa registrada: sin relaciones no existe estructura que representar. Revise la matriz del paso 4.","Cada factor se sitúa según cuánto influye (vertical) y cuánto es influido (horizontal). Los cuadrantes se identifican solos.")</f>
      </c>
      <c r="C19" s="203"/>
      <c r="D19" s="203"/>
      <c r="E19" s="203"/>
      <c r="F19" s="203"/>
      <c r="G19" s="203"/>
      <c r="H19" s="203"/>
      <c r="I19" s="203"/>
      <c r="J19" s="203"/>
      <c r="K19" s="203"/>
      <c r="L19" s="203"/>
      <c r="M19" s="203"/>
      <c r="N19" s="203"/>
      <c r="O19" s="203"/>
      <c r="P19" s="203"/>
      <c r="Q19" s="203"/>
      <c r="R19" s="203"/>
      <c r="S19" s="203"/>
      <c r="T19" s="203"/>
      <c r="U19" s="203"/>
      <c r="V19" s="203"/>
      <c r="W19" s="203"/>
      <c r="X19" s="203"/>
      <c r="Y19" s="203"/>
      <c r="Z19" s="203"/>
      <c r="AA19" s="203"/>
      <c r="AB19" s="203"/>
      <c r="AC19" s="203"/>
      <c r="AD19" s="203"/>
      <c r="AE19" s="203"/>
      <c r="AJ19" s="191">
        <f>IF(12&gt;Var_N,"",COUNTIF(Res_Motricidad,"&gt;"&amp;INDEX(Res_Motricidad,12))+COUNTIF(OFFSET(Res_Motricidad,0,0,12,1),INDEX(Res_Motricidad,12)))</f>
      </c>
      <c r="AK19" s="191">
        <f>IF(12&gt;Var_N,"",COUNTIF(Res_Dependencia,"&gt;"&amp;INDEX(Res_Dependencia,12))+COUNTIF(OFFSET(Res_Dependencia,0,0,12,1),INDEX(Res_Dependencia,12)))</f>
      </c>
      <c r="AL19" s="191">
        <f>IF(12&gt;Var_N,"",MAX(0,MIN(18-1,INT(INDEX(Res_Dependencia,12)/MAX(1,MAX(Res_Dependencia))*18)))*100+MAX(0,MIN(12-1,12-1-INT(INDEX(Res_Motricidad,12)/MAX(1,MAX(Res_Motricidad))*12))))</f>
      </c>
      <c r="AM19" s="191">
        <f>IF(12&gt;Var_N,"",COUNTIF(Ind_Motricidad,"&gt;"&amp;INDEX(Ind_Motricidad,12))+COUNTIF(OFFSET(Ind_Motricidad,0,0,12,1),INDEX(Ind_Motricidad,12)))</f>
      </c>
      <c r="AN19" s="191">
        <f>IF(12&gt;Var_N,0,IF(INDEX(Res_RangoMot,12)-INDEX(Ind_RangoMot,12)&gt;=2,1,0))</f>
      </c>
    </row>
    <row r="20" ht="18" customHeight="1">
      <c r="B20" s="229" t="inlineStr">
        <is>
          <t xml:space="preserve">↑ influye</t>
        </is>
      </c>
      <c r="C20" s="228" t="inlineStr">
        <is>
          <t xml:space="preserve">MOTRICES</t>
        </is>
      </c>
      <c r="L20" s="228" t="inlineStr">
        <is>
          <t xml:space="preserve">CLAVE</t>
        </is>
      </c>
      <c r="AJ20" s="191">
        <f>IF(13&gt;Var_N,"",COUNTIF(Res_Motricidad,"&gt;"&amp;INDEX(Res_Motricidad,13))+COUNTIF(OFFSET(Res_Motricidad,0,0,13,1),INDEX(Res_Motricidad,13)))</f>
      </c>
      <c r="AK20" s="191">
        <f>IF(13&gt;Var_N,"",COUNTIF(Res_Dependencia,"&gt;"&amp;INDEX(Res_Dependencia,13))+COUNTIF(OFFSET(Res_Dependencia,0,0,13,1),INDEX(Res_Dependencia,13)))</f>
      </c>
      <c r="AL20" s="191">
        <f>IF(13&gt;Var_N,"",MAX(0,MIN(18-1,INT(INDEX(Res_Dependencia,13)/MAX(1,MAX(Res_Dependencia))*18)))*100+MAX(0,MIN(12-1,12-1-INT(INDEX(Res_Motricidad,13)/MAX(1,MAX(Res_Motricidad))*12))))</f>
      </c>
      <c r="AM20" s="191">
        <f>IF(13&gt;Var_N,"",COUNTIF(Ind_Motricidad,"&gt;"&amp;INDEX(Ind_Motricidad,13))+COUNTIF(OFFSET(Ind_Motricidad,0,0,13,1),INDEX(Ind_Motricidad,13)))</f>
      </c>
      <c r="AN20" s="191">
        <f>IF(13&gt;Var_N,0,IF(INDEX(Res_RangoMot,13)-INDEX(Ind_RangoMot,13)&gt;=2,1,0))</f>
      </c>
    </row>
    <row r="21" ht="15" customHeight="1">
      <c r="C21" s="219">
        <f>IF(OR(Var_N&lt;2,SUM(Res_Motricidad)=0),"",IF(COUNTIF($AL$8:$AL$32,0)=0,"",IF(COUNTIF($AL$8:$AL$32,0)=1,INDEX(Res_Codigo,MATCH(0,$AL$8:$AL$32,0)),COUNTIF($AL$8:$AL$32,0)&amp;"×")))</f>
      </c>
      <c r="D21" s="214">
        <f>IF(OR(Var_N&lt;2,SUM(Res_Motricidad)=0),"",IF(COUNTIF($AL$8:$AL$32,100)=0,"",IF(COUNTIF($AL$8:$AL$32,100)=1,INDEX(Res_Codigo,MATCH(100,$AL$8:$AL$32,0)),COUNTIF($AL$8:$AL$32,100)&amp;"×")))</f>
      </c>
      <c r="E21" s="214">
        <f>IF(OR(Var_N&lt;2,SUM(Res_Motricidad)=0),"",IF(COUNTIF($AL$8:$AL$32,200)=0,"",IF(COUNTIF($AL$8:$AL$32,200)=1,INDEX(Res_Codigo,MATCH(200,$AL$8:$AL$32,0)),COUNTIF($AL$8:$AL$32,200)&amp;"×")))</f>
      </c>
      <c r="F21" s="214">
        <f>IF(OR(Var_N&lt;2,SUM(Res_Motricidad)=0),"",IF(COUNTIF($AL$8:$AL$32,300)=0,"",IF(COUNTIF($AL$8:$AL$32,300)=1,INDEX(Res_Codigo,MATCH(300,$AL$8:$AL$32,0)),COUNTIF($AL$8:$AL$32,300)&amp;"×")))</f>
      </c>
      <c r="G21" s="214">
        <f>IF(OR(Var_N&lt;2,SUM(Res_Motricidad)=0),"",IF(COUNTIF($AL$8:$AL$32,400)=0,"",IF(COUNTIF($AL$8:$AL$32,400)=1,INDEX(Res_Codigo,MATCH(400,$AL$8:$AL$32,0)),COUNTIF($AL$8:$AL$32,400)&amp;"×")))</f>
      </c>
      <c r="H21" s="214">
        <f>IF(OR(Var_N&lt;2,SUM(Res_Motricidad)=0),"",IF(COUNTIF($AL$8:$AL$32,500)=0,"",IF(COUNTIF($AL$8:$AL$32,500)=1,INDEX(Res_Codigo,MATCH(500,$AL$8:$AL$32,0)),COUNTIF($AL$8:$AL$32,500)&amp;"×")))</f>
      </c>
      <c r="I21" s="214">
        <f>IF(OR(Var_N&lt;2,SUM(Res_Motricidad)=0),"",IF(COUNTIF($AL$8:$AL$32,600)=0,"",IF(COUNTIF($AL$8:$AL$32,600)=1,INDEX(Res_Codigo,MATCH(600,$AL$8:$AL$32,0)),COUNTIF($AL$8:$AL$32,600)&amp;"×")))</f>
      </c>
      <c r="J21" s="214">
        <f>IF(OR(Var_N&lt;2,SUM(Res_Motricidad)=0),"",IF(COUNTIF($AL$8:$AL$32,700)=0,"",IF(COUNTIF($AL$8:$AL$32,700)=1,INDEX(Res_Codigo,MATCH(700,$AL$8:$AL$32,0)),COUNTIF($AL$8:$AL$32,700)&amp;"×")))</f>
      </c>
      <c r="K21" s="214">
        <f>IF(OR(Var_N&lt;2,SUM(Res_Motricidad)=0),"",IF(COUNTIF($AL$8:$AL$32,800)=0,"",IF(COUNTIF($AL$8:$AL$32,800)=1,INDEX(Res_Codigo,MATCH(800,$AL$8:$AL$32,0)),COUNTIF($AL$8:$AL$32,800)&amp;"×")))</f>
      </c>
      <c r="L21" s="224">
        <f>IF(OR(Var_N&lt;2,SUM(Res_Motricidad)=0),"",IF(COUNTIF($AL$8:$AL$32,900)=0,"",IF(COUNTIF($AL$8:$AL$32,900)=1,INDEX(Res_Codigo,MATCH(900,$AL$8:$AL$32,0)),COUNTIF($AL$8:$AL$32,900)&amp;"×")))</f>
      </c>
      <c r="M21" s="215">
        <f>IF(OR(Var_N&lt;2,SUM(Res_Motricidad)=0),"",IF(COUNTIF($AL$8:$AL$32,1000)=0,"",IF(COUNTIF($AL$8:$AL$32,1000)=1,INDEX(Res_Codigo,MATCH(1000,$AL$8:$AL$32,0)),COUNTIF($AL$8:$AL$32,1000)&amp;"×")))</f>
      </c>
      <c r="N21" s="215">
        <f>IF(OR(Var_N&lt;2,SUM(Res_Motricidad)=0),"",IF(COUNTIF($AL$8:$AL$32,1100)=0,"",IF(COUNTIF($AL$8:$AL$32,1100)=1,INDEX(Res_Codigo,MATCH(1100,$AL$8:$AL$32,0)),COUNTIF($AL$8:$AL$32,1100)&amp;"×")))</f>
      </c>
      <c r="O21" s="215">
        <f>IF(OR(Var_N&lt;2,SUM(Res_Motricidad)=0),"",IF(COUNTIF($AL$8:$AL$32,1200)=0,"",IF(COUNTIF($AL$8:$AL$32,1200)=1,INDEX(Res_Codigo,MATCH(1200,$AL$8:$AL$32,0)),COUNTIF($AL$8:$AL$32,1200)&amp;"×")))</f>
      </c>
      <c r="P21" s="215">
        <f>IF(OR(Var_N&lt;2,SUM(Res_Motricidad)=0),"",IF(COUNTIF($AL$8:$AL$32,1300)=0,"",IF(COUNTIF($AL$8:$AL$32,1300)=1,INDEX(Res_Codigo,MATCH(1300,$AL$8:$AL$32,0)),COUNTIF($AL$8:$AL$32,1300)&amp;"×")))</f>
      </c>
      <c r="Q21" s="215">
        <f>IF(OR(Var_N&lt;2,SUM(Res_Motricidad)=0),"",IF(COUNTIF($AL$8:$AL$32,1400)=0,"",IF(COUNTIF($AL$8:$AL$32,1400)=1,INDEX(Res_Codigo,MATCH(1400,$AL$8:$AL$32,0)),COUNTIF($AL$8:$AL$32,1400)&amp;"×")))</f>
      </c>
      <c r="R21" s="215">
        <f>IF(OR(Var_N&lt;2,SUM(Res_Motricidad)=0),"",IF(COUNTIF($AL$8:$AL$32,1500)=0,"",IF(COUNTIF($AL$8:$AL$32,1500)=1,INDEX(Res_Codigo,MATCH(1500,$AL$8:$AL$32,0)),COUNTIF($AL$8:$AL$32,1500)&amp;"×")))</f>
      </c>
      <c r="S21" s="215">
        <f>IF(OR(Var_N&lt;2,SUM(Res_Motricidad)=0),"",IF(COUNTIF($AL$8:$AL$32,1600)=0,"",IF(COUNTIF($AL$8:$AL$32,1600)=1,INDEX(Res_Codigo,MATCH(1600,$AL$8:$AL$32,0)),COUNTIF($AL$8:$AL$32,1600)&amp;"×")))</f>
      </c>
      <c r="T21" s="215">
        <f>IF(OR(Var_N&lt;2,SUM(Res_Motricidad)=0),"",IF(COUNTIF($AL$8:$AL$32,1700)=0,"",IF(COUNTIF($AL$8:$AL$32,1700)=1,INDEX(Res_Codigo,MATCH(1700,$AL$8:$AL$32,0)),COUNTIF($AL$8:$AL$32,1700)&amp;"×")))</f>
      </c>
      <c r="AJ21" s="191">
        <f>IF(14&gt;Var_N,"",COUNTIF(Res_Motricidad,"&gt;"&amp;INDEX(Res_Motricidad,14))+COUNTIF(OFFSET(Res_Motricidad,0,0,14,1),INDEX(Res_Motricidad,14)))</f>
      </c>
      <c r="AK21" s="191">
        <f>IF(14&gt;Var_N,"",COUNTIF(Res_Dependencia,"&gt;"&amp;INDEX(Res_Dependencia,14))+COUNTIF(OFFSET(Res_Dependencia,0,0,14,1),INDEX(Res_Dependencia,14)))</f>
      </c>
      <c r="AL21" s="191">
        <f>IF(14&gt;Var_N,"",MAX(0,MIN(18-1,INT(INDEX(Res_Dependencia,14)/MAX(1,MAX(Res_Dependencia))*18)))*100+MAX(0,MIN(12-1,12-1-INT(INDEX(Res_Motricidad,14)/MAX(1,MAX(Res_Motricidad))*12))))</f>
      </c>
      <c r="AM21" s="191">
        <f>IF(14&gt;Var_N,"",COUNTIF(Ind_Motricidad,"&gt;"&amp;INDEX(Ind_Motricidad,14))+COUNTIF(OFFSET(Ind_Motricidad,0,0,14,1),INDEX(Ind_Motricidad,14)))</f>
      </c>
      <c r="AN21" s="191">
        <f>IF(14&gt;Var_N,0,IF(INDEX(Res_RangoMot,14)-INDEX(Ind_RangoMot,14)&gt;=2,1,0))</f>
      </c>
    </row>
    <row r="22" ht="15" customHeight="1">
      <c r="C22" s="219">
        <f>IF(OR(Var_N&lt;2,SUM(Res_Motricidad)=0),"",IF(COUNTIF($AL$8:$AL$32,1)=0,"",IF(COUNTIF($AL$8:$AL$32,1)=1,INDEX(Res_Codigo,MATCH(1,$AL$8:$AL$32,0)),COUNTIF($AL$8:$AL$32,1)&amp;"×")))</f>
      </c>
      <c r="D22" s="214">
        <f>IF(OR(Var_N&lt;2,SUM(Res_Motricidad)=0),"",IF(COUNTIF($AL$8:$AL$32,101)=0,"",IF(COUNTIF($AL$8:$AL$32,101)=1,INDEX(Res_Codigo,MATCH(101,$AL$8:$AL$32,0)),COUNTIF($AL$8:$AL$32,101)&amp;"×")))</f>
      </c>
      <c r="E22" s="214">
        <f>IF(OR(Var_N&lt;2,SUM(Res_Motricidad)=0),"",IF(COUNTIF($AL$8:$AL$32,201)=0,"",IF(COUNTIF($AL$8:$AL$32,201)=1,INDEX(Res_Codigo,MATCH(201,$AL$8:$AL$32,0)),COUNTIF($AL$8:$AL$32,201)&amp;"×")))</f>
      </c>
      <c r="F22" s="214">
        <f>IF(OR(Var_N&lt;2,SUM(Res_Motricidad)=0),"",IF(COUNTIF($AL$8:$AL$32,301)=0,"",IF(COUNTIF($AL$8:$AL$32,301)=1,INDEX(Res_Codigo,MATCH(301,$AL$8:$AL$32,0)),COUNTIF($AL$8:$AL$32,301)&amp;"×")))</f>
      </c>
      <c r="G22" s="214">
        <f>IF(OR(Var_N&lt;2,SUM(Res_Motricidad)=0),"",IF(COUNTIF($AL$8:$AL$32,401)=0,"",IF(COUNTIF($AL$8:$AL$32,401)=1,INDEX(Res_Codigo,MATCH(401,$AL$8:$AL$32,0)),COUNTIF($AL$8:$AL$32,401)&amp;"×")))</f>
      </c>
      <c r="H22" s="214">
        <f>IF(OR(Var_N&lt;2,SUM(Res_Motricidad)=0),"",IF(COUNTIF($AL$8:$AL$32,501)=0,"",IF(COUNTIF($AL$8:$AL$32,501)=1,INDEX(Res_Codigo,MATCH(501,$AL$8:$AL$32,0)),COUNTIF($AL$8:$AL$32,501)&amp;"×")))</f>
      </c>
      <c r="I22" s="214">
        <f>IF(OR(Var_N&lt;2,SUM(Res_Motricidad)=0),"",IF(COUNTIF($AL$8:$AL$32,601)=0,"",IF(COUNTIF($AL$8:$AL$32,601)=1,INDEX(Res_Codigo,MATCH(601,$AL$8:$AL$32,0)),COUNTIF($AL$8:$AL$32,601)&amp;"×")))</f>
      </c>
      <c r="J22" s="214">
        <f>IF(OR(Var_N&lt;2,SUM(Res_Motricidad)=0),"",IF(COUNTIF($AL$8:$AL$32,701)=0,"",IF(COUNTIF($AL$8:$AL$32,701)=1,INDEX(Res_Codigo,MATCH(701,$AL$8:$AL$32,0)),COUNTIF($AL$8:$AL$32,701)&amp;"×")))</f>
      </c>
      <c r="K22" s="214">
        <f>IF(OR(Var_N&lt;2,SUM(Res_Motricidad)=0),"",IF(COUNTIF($AL$8:$AL$32,801)=0,"",IF(COUNTIF($AL$8:$AL$32,801)=1,INDEX(Res_Codigo,MATCH(801,$AL$8:$AL$32,0)),COUNTIF($AL$8:$AL$32,801)&amp;"×")))</f>
      </c>
      <c r="L22" s="224">
        <f>IF(OR(Var_N&lt;2,SUM(Res_Motricidad)=0),"",IF(COUNTIF($AL$8:$AL$32,901)=0,"",IF(COUNTIF($AL$8:$AL$32,901)=1,INDEX(Res_Codigo,MATCH(901,$AL$8:$AL$32,0)),COUNTIF($AL$8:$AL$32,901)&amp;"×")))</f>
      </c>
      <c r="M22" s="215">
        <f>IF(OR(Var_N&lt;2,SUM(Res_Motricidad)=0),"",IF(COUNTIF($AL$8:$AL$32,1001)=0,"",IF(COUNTIF($AL$8:$AL$32,1001)=1,INDEX(Res_Codigo,MATCH(1001,$AL$8:$AL$32,0)),COUNTIF($AL$8:$AL$32,1001)&amp;"×")))</f>
      </c>
      <c r="N22" s="215">
        <f>IF(OR(Var_N&lt;2,SUM(Res_Motricidad)=0),"",IF(COUNTIF($AL$8:$AL$32,1101)=0,"",IF(COUNTIF($AL$8:$AL$32,1101)=1,INDEX(Res_Codigo,MATCH(1101,$AL$8:$AL$32,0)),COUNTIF($AL$8:$AL$32,1101)&amp;"×")))</f>
      </c>
      <c r="O22" s="215">
        <f>IF(OR(Var_N&lt;2,SUM(Res_Motricidad)=0),"",IF(COUNTIF($AL$8:$AL$32,1201)=0,"",IF(COUNTIF($AL$8:$AL$32,1201)=1,INDEX(Res_Codigo,MATCH(1201,$AL$8:$AL$32,0)),COUNTIF($AL$8:$AL$32,1201)&amp;"×")))</f>
      </c>
      <c r="P22" s="215">
        <f>IF(OR(Var_N&lt;2,SUM(Res_Motricidad)=0),"",IF(COUNTIF($AL$8:$AL$32,1301)=0,"",IF(COUNTIF($AL$8:$AL$32,1301)=1,INDEX(Res_Codigo,MATCH(1301,$AL$8:$AL$32,0)),COUNTIF($AL$8:$AL$32,1301)&amp;"×")))</f>
      </c>
      <c r="Q22" s="215">
        <f>IF(OR(Var_N&lt;2,SUM(Res_Motricidad)=0),"",IF(COUNTIF($AL$8:$AL$32,1401)=0,"",IF(COUNTIF($AL$8:$AL$32,1401)=1,INDEX(Res_Codigo,MATCH(1401,$AL$8:$AL$32,0)),COUNTIF($AL$8:$AL$32,1401)&amp;"×")))</f>
      </c>
      <c r="R22" s="215">
        <f>IF(OR(Var_N&lt;2,SUM(Res_Motricidad)=0),"",IF(COUNTIF($AL$8:$AL$32,1501)=0,"",IF(COUNTIF($AL$8:$AL$32,1501)=1,INDEX(Res_Codigo,MATCH(1501,$AL$8:$AL$32,0)),COUNTIF($AL$8:$AL$32,1501)&amp;"×")))</f>
      </c>
      <c r="S22" s="215">
        <f>IF(OR(Var_N&lt;2,SUM(Res_Motricidad)=0),"",IF(COUNTIF($AL$8:$AL$32,1601)=0,"",IF(COUNTIF($AL$8:$AL$32,1601)=1,INDEX(Res_Codigo,MATCH(1601,$AL$8:$AL$32,0)),COUNTIF($AL$8:$AL$32,1601)&amp;"×")))</f>
      </c>
      <c r="T22" s="215">
        <f>IF(OR(Var_N&lt;2,SUM(Res_Motricidad)=0),"",IF(COUNTIF($AL$8:$AL$32,1701)=0,"",IF(COUNTIF($AL$8:$AL$32,1701)=1,INDEX(Res_Codigo,MATCH(1701,$AL$8:$AL$32,0)),COUNTIF($AL$8:$AL$32,1701)&amp;"×")))</f>
      </c>
      <c r="AJ22" s="191">
        <f>IF(15&gt;Var_N,"",COUNTIF(Res_Motricidad,"&gt;"&amp;INDEX(Res_Motricidad,15))+COUNTIF(OFFSET(Res_Motricidad,0,0,15,1),INDEX(Res_Motricidad,15)))</f>
      </c>
      <c r="AK22" s="191">
        <f>IF(15&gt;Var_N,"",COUNTIF(Res_Dependencia,"&gt;"&amp;INDEX(Res_Dependencia,15))+COUNTIF(OFFSET(Res_Dependencia,0,0,15,1),INDEX(Res_Dependencia,15)))</f>
      </c>
      <c r="AL22" s="191">
        <f>IF(15&gt;Var_N,"",MAX(0,MIN(18-1,INT(INDEX(Res_Dependencia,15)/MAX(1,MAX(Res_Dependencia))*18)))*100+MAX(0,MIN(12-1,12-1-INT(INDEX(Res_Motricidad,15)/MAX(1,MAX(Res_Motricidad))*12))))</f>
      </c>
      <c r="AM22" s="191">
        <f>IF(15&gt;Var_N,"",COUNTIF(Ind_Motricidad,"&gt;"&amp;INDEX(Ind_Motricidad,15))+COUNTIF(OFFSET(Ind_Motricidad,0,0,15,1),INDEX(Ind_Motricidad,15)))</f>
      </c>
      <c r="AN22" s="191">
        <f>IF(15&gt;Var_N,0,IF(INDEX(Res_RangoMot,15)-INDEX(Ind_RangoMot,15)&gt;=2,1,0))</f>
      </c>
    </row>
    <row r="23" ht="15" customHeight="1">
      <c r="C23" s="219">
        <f>IF(OR(Var_N&lt;2,SUM(Res_Motricidad)=0),"",IF(COUNTIF($AL$8:$AL$32,2)=0,"",IF(COUNTIF($AL$8:$AL$32,2)=1,INDEX(Res_Codigo,MATCH(2,$AL$8:$AL$32,0)),COUNTIF($AL$8:$AL$32,2)&amp;"×")))</f>
      </c>
      <c r="D23" s="214">
        <f>IF(OR(Var_N&lt;2,SUM(Res_Motricidad)=0),"",IF(COUNTIF($AL$8:$AL$32,102)=0,"",IF(COUNTIF($AL$8:$AL$32,102)=1,INDEX(Res_Codigo,MATCH(102,$AL$8:$AL$32,0)),COUNTIF($AL$8:$AL$32,102)&amp;"×")))</f>
      </c>
      <c r="E23" s="214">
        <f>IF(OR(Var_N&lt;2,SUM(Res_Motricidad)=0),"",IF(COUNTIF($AL$8:$AL$32,202)=0,"",IF(COUNTIF($AL$8:$AL$32,202)=1,INDEX(Res_Codigo,MATCH(202,$AL$8:$AL$32,0)),COUNTIF($AL$8:$AL$32,202)&amp;"×")))</f>
      </c>
      <c r="F23" s="214">
        <f>IF(OR(Var_N&lt;2,SUM(Res_Motricidad)=0),"",IF(COUNTIF($AL$8:$AL$32,302)=0,"",IF(COUNTIF($AL$8:$AL$32,302)=1,INDEX(Res_Codigo,MATCH(302,$AL$8:$AL$32,0)),COUNTIF($AL$8:$AL$32,302)&amp;"×")))</f>
      </c>
      <c r="G23" s="214">
        <f>IF(OR(Var_N&lt;2,SUM(Res_Motricidad)=0),"",IF(COUNTIF($AL$8:$AL$32,402)=0,"",IF(COUNTIF($AL$8:$AL$32,402)=1,INDEX(Res_Codigo,MATCH(402,$AL$8:$AL$32,0)),COUNTIF($AL$8:$AL$32,402)&amp;"×")))</f>
      </c>
      <c r="H23" s="214">
        <f>IF(OR(Var_N&lt;2,SUM(Res_Motricidad)=0),"",IF(COUNTIF($AL$8:$AL$32,502)=0,"",IF(COUNTIF($AL$8:$AL$32,502)=1,INDEX(Res_Codigo,MATCH(502,$AL$8:$AL$32,0)),COUNTIF($AL$8:$AL$32,502)&amp;"×")))</f>
      </c>
      <c r="I23" s="214">
        <f>IF(OR(Var_N&lt;2,SUM(Res_Motricidad)=0),"",IF(COUNTIF($AL$8:$AL$32,602)=0,"",IF(COUNTIF($AL$8:$AL$32,602)=1,INDEX(Res_Codigo,MATCH(602,$AL$8:$AL$32,0)),COUNTIF($AL$8:$AL$32,602)&amp;"×")))</f>
      </c>
      <c r="J23" s="214">
        <f>IF(OR(Var_N&lt;2,SUM(Res_Motricidad)=0),"",IF(COUNTIF($AL$8:$AL$32,702)=0,"",IF(COUNTIF($AL$8:$AL$32,702)=1,INDEX(Res_Codigo,MATCH(702,$AL$8:$AL$32,0)),COUNTIF($AL$8:$AL$32,702)&amp;"×")))</f>
      </c>
      <c r="K23" s="214">
        <f>IF(OR(Var_N&lt;2,SUM(Res_Motricidad)=0),"",IF(COUNTIF($AL$8:$AL$32,802)=0,"",IF(COUNTIF($AL$8:$AL$32,802)=1,INDEX(Res_Codigo,MATCH(802,$AL$8:$AL$32,0)),COUNTIF($AL$8:$AL$32,802)&amp;"×")))</f>
      </c>
      <c r="L23" s="224">
        <f>IF(OR(Var_N&lt;2,SUM(Res_Motricidad)=0),"",IF(COUNTIF($AL$8:$AL$32,902)=0,"",IF(COUNTIF($AL$8:$AL$32,902)=1,INDEX(Res_Codigo,MATCH(902,$AL$8:$AL$32,0)),COUNTIF($AL$8:$AL$32,902)&amp;"×")))</f>
      </c>
      <c r="M23" s="215">
        <f>IF(OR(Var_N&lt;2,SUM(Res_Motricidad)=0),"",IF(COUNTIF($AL$8:$AL$32,1002)=0,"",IF(COUNTIF($AL$8:$AL$32,1002)=1,INDEX(Res_Codigo,MATCH(1002,$AL$8:$AL$32,0)),COUNTIF($AL$8:$AL$32,1002)&amp;"×")))</f>
      </c>
      <c r="N23" s="215">
        <f>IF(OR(Var_N&lt;2,SUM(Res_Motricidad)=0),"",IF(COUNTIF($AL$8:$AL$32,1102)=0,"",IF(COUNTIF($AL$8:$AL$32,1102)=1,INDEX(Res_Codigo,MATCH(1102,$AL$8:$AL$32,0)),COUNTIF($AL$8:$AL$32,1102)&amp;"×")))</f>
      </c>
      <c r="O23" s="215">
        <f>IF(OR(Var_N&lt;2,SUM(Res_Motricidad)=0),"",IF(COUNTIF($AL$8:$AL$32,1202)=0,"",IF(COUNTIF($AL$8:$AL$32,1202)=1,INDEX(Res_Codigo,MATCH(1202,$AL$8:$AL$32,0)),COUNTIF($AL$8:$AL$32,1202)&amp;"×")))</f>
      </c>
      <c r="P23" s="215">
        <f>IF(OR(Var_N&lt;2,SUM(Res_Motricidad)=0),"",IF(COUNTIF($AL$8:$AL$32,1302)=0,"",IF(COUNTIF($AL$8:$AL$32,1302)=1,INDEX(Res_Codigo,MATCH(1302,$AL$8:$AL$32,0)),COUNTIF($AL$8:$AL$32,1302)&amp;"×")))</f>
      </c>
      <c r="Q23" s="215">
        <f>IF(OR(Var_N&lt;2,SUM(Res_Motricidad)=0),"",IF(COUNTIF($AL$8:$AL$32,1402)=0,"",IF(COUNTIF($AL$8:$AL$32,1402)=1,INDEX(Res_Codigo,MATCH(1402,$AL$8:$AL$32,0)),COUNTIF($AL$8:$AL$32,1402)&amp;"×")))</f>
      </c>
      <c r="R23" s="215">
        <f>IF(OR(Var_N&lt;2,SUM(Res_Motricidad)=0),"",IF(COUNTIF($AL$8:$AL$32,1502)=0,"",IF(COUNTIF($AL$8:$AL$32,1502)=1,INDEX(Res_Codigo,MATCH(1502,$AL$8:$AL$32,0)),COUNTIF($AL$8:$AL$32,1502)&amp;"×")))</f>
      </c>
      <c r="S23" s="215">
        <f>IF(OR(Var_N&lt;2,SUM(Res_Motricidad)=0),"",IF(COUNTIF($AL$8:$AL$32,1602)=0,"",IF(COUNTIF($AL$8:$AL$32,1602)=1,INDEX(Res_Codigo,MATCH(1602,$AL$8:$AL$32,0)),COUNTIF($AL$8:$AL$32,1602)&amp;"×")))</f>
      </c>
      <c r="T23" s="215">
        <f>IF(OR(Var_N&lt;2,SUM(Res_Motricidad)=0),"",IF(COUNTIF($AL$8:$AL$32,1702)=0,"",IF(COUNTIF($AL$8:$AL$32,1702)=1,INDEX(Res_Codigo,MATCH(1702,$AL$8:$AL$32,0)),COUNTIF($AL$8:$AL$32,1702)&amp;"×")))</f>
      </c>
      <c r="AJ23" s="191">
        <f>IF(16&gt;Var_N,"",COUNTIF(Res_Motricidad,"&gt;"&amp;INDEX(Res_Motricidad,16))+COUNTIF(OFFSET(Res_Motricidad,0,0,16,1),INDEX(Res_Motricidad,16)))</f>
      </c>
      <c r="AK23" s="191">
        <f>IF(16&gt;Var_N,"",COUNTIF(Res_Dependencia,"&gt;"&amp;INDEX(Res_Dependencia,16))+COUNTIF(OFFSET(Res_Dependencia,0,0,16,1),INDEX(Res_Dependencia,16)))</f>
      </c>
      <c r="AL23" s="191">
        <f>IF(16&gt;Var_N,"",MAX(0,MIN(18-1,INT(INDEX(Res_Dependencia,16)/MAX(1,MAX(Res_Dependencia))*18)))*100+MAX(0,MIN(12-1,12-1-INT(INDEX(Res_Motricidad,16)/MAX(1,MAX(Res_Motricidad))*12))))</f>
      </c>
      <c r="AM23" s="191">
        <f>IF(16&gt;Var_N,"",COUNTIF(Ind_Motricidad,"&gt;"&amp;INDEX(Ind_Motricidad,16))+COUNTIF(OFFSET(Ind_Motricidad,0,0,16,1),INDEX(Ind_Motricidad,16)))</f>
      </c>
      <c r="AN23" s="191">
        <f>IF(16&gt;Var_N,0,IF(INDEX(Res_RangoMot,16)-INDEX(Ind_RangoMot,16)&gt;=2,1,0))</f>
      </c>
    </row>
    <row r="24" ht="15" customHeight="1">
      <c r="C24" s="219">
        <f>IF(OR(Var_N&lt;2,SUM(Res_Motricidad)=0),"",IF(COUNTIF($AL$8:$AL$32,3)=0,"",IF(COUNTIF($AL$8:$AL$32,3)=1,INDEX(Res_Codigo,MATCH(3,$AL$8:$AL$32,0)),COUNTIF($AL$8:$AL$32,3)&amp;"×")))</f>
      </c>
      <c r="D24" s="214">
        <f>IF(OR(Var_N&lt;2,SUM(Res_Motricidad)=0),"",IF(COUNTIF($AL$8:$AL$32,103)=0,"",IF(COUNTIF($AL$8:$AL$32,103)=1,INDEX(Res_Codigo,MATCH(103,$AL$8:$AL$32,0)),COUNTIF($AL$8:$AL$32,103)&amp;"×")))</f>
      </c>
      <c r="E24" s="214">
        <f>IF(OR(Var_N&lt;2,SUM(Res_Motricidad)=0),"",IF(COUNTIF($AL$8:$AL$32,203)=0,"",IF(COUNTIF($AL$8:$AL$32,203)=1,INDEX(Res_Codigo,MATCH(203,$AL$8:$AL$32,0)),COUNTIF($AL$8:$AL$32,203)&amp;"×")))</f>
      </c>
      <c r="F24" s="214">
        <f>IF(OR(Var_N&lt;2,SUM(Res_Motricidad)=0),"",IF(COUNTIF($AL$8:$AL$32,303)=0,"",IF(COUNTIF($AL$8:$AL$32,303)=1,INDEX(Res_Codigo,MATCH(303,$AL$8:$AL$32,0)),COUNTIF($AL$8:$AL$32,303)&amp;"×")))</f>
      </c>
      <c r="G24" s="214">
        <f>IF(OR(Var_N&lt;2,SUM(Res_Motricidad)=0),"",IF(COUNTIF($AL$8:$AL$32,403)=0,"",IF(COUNTIF($AL$8:$AL$32,403)=1,INDEX(Res_Codigo,MATCH(403,$AL$8:$AL$32,0)),COUNTIF($AL$8:$AL$32,403)&amp;"×")))</f>
      </c>
      <c r="H24" s="214">
        <f>IF(OR(Var_N&lt;2,SUM(Res_Motricidad)=0),"",IF(COUNTIF($AL$8:$AL$32,503)=0,"",IF(COUNTIF($AL$8:$AL$32,503)=1,INDEX(Res_Codigo,MATCH(503,$AL$8:$AL$32,0)),COUNTIF($AL$8:$AL$32,503)&amp;"×")))</f>
      </c>
      <c r="I24" s="214">
        <f>IF(OR(Var_N&lt;2,SUM(Res_Motricidad)=0),"",IF(COUNTIF($AL$8:$AL$32,603)=0,"",IF(COUNTIF($AL$8:$AL$32,603)=1,INDEX(Res_Codigo,MATCH(603,$AL$8:$AL$32,0)),COUNTIF($AL$8:$AL$32,603)&amp;"×")))</f>
      </c>
      <c r="J24" s="214">
        <f>IF(OR(Var_N&lt;2,SUM(Res_Motricidad)=0),"",IF(COUNTIF($AL$8:$AL$32,703)=0,"",IF(COUNTIF($AL$8:$AL$32,703)=1,INDEX(Res_Codigo,MATCH(703,$AL$8:$AL$32,0)),COUNTIF($AL$8:$AL$32,703)&amp;"×")))</f>
      </c>
      <c r="K24" s="214">
        <f>IF(OR(Var_N&lt;2,SUM(Res_Motricidad)=0),"",IF(COUNTIF($AL$8:$AL$32,803)=0,"",IF(COUNTIF($AL$8:$AL$32,803)=1,INDEX(Res_Codigo,MATCH(803,$AL$8:$AL$32,0)),COUNTIF($AL$8:$AL$32,803)&amp;"×")))</f>
      </c>
      <c r="L24" s="224">
        <f>IF(OR(Var_N&lt;2,SUM(Res_Motricidad)=0),"",IF(COUNTIF($AL$8:$AL$32,903)=0,"",IF(COUNTIF($AL$8:$AL$32,903)=1,INDEX(Res_Codigo,MATCH(903,$AL$8:$AL$32,0)),COUNTIF($AL$8:$AL$32,903)&amp;"×")))</f>
      </c>
      <c r="M24" s="215">
        <f>IF(OR(Var_N&lt;2,SUM(Res_Motricidad)=0),"",IF(COUNTIF($AL$8:$AL$32,1003)=0,"",IF(COUNTIF($AL$8:$AL$32,1003)=1,INDEX(Res_Codigo,MATCH(1003,$AL$8:$AL$32,0)),COUNTIF($AL$8:$AL$32,1003)&amp;"×")))</f>
      </c>
      <c r="N24" s="215">
        <f>IF(OR(Var_N&lt;2,SUM(Res_Motricidad)=0),"",IF(COUNTIF($AL$8:$AL$32,1103)=0,"",IF(COUNTIF($AL$8:$AL$32,1103)=1,INDEX(Res_Codigo,MATCH(1103,$AL$8:$AL$32,0)),COUNTIF($AL$8:$AL$32,1103)&amp;"×")))</f>
      </c>
      <c r="O24" s="215">
        <f>IF(OR(Var_N&lt;2,SUM(Res_Motricidad)=0),"",IF(COUNTIF($AL$8:$AL$32,1203)=0,"",IF(COUNTIF($AL$8:$AL$32,1203)=1,INDEX(Res_Codigo,MATCH(1203,$AL$8:$AL$32,0)),COUNTIF($AL$8:$AL$32,1203)&amp;"×")))</f>
      </c>
      <c r="P24" s="215">
        <f>IF(OR(Var_N&lt;2,SUM(Res_Motricidad)=0),"",IF(COUNTIF($AL$8:$AL$32,1303)=0,"",IF(COUNTIF($AL$8:$AL$32,1303)=1,INDEX(Res_Codigo,MATCH(1303,$AL$8:$AL$32,0)),COUNTIF($AL$8:$AL$32,1303)&amp;"×")))</f>
      </c>
      <c r="Q24" s="215">
        <f>IF(OR(Var_N&lt;2,SUM(Res_Motricidad)=0),"",IF(COUNTIF($AL$8:$AL$32,1403)=0,"",IF(COUNTIF($AL$8:$AL$32,1403)=1,INDEX(Res_Codigo,MATCH(1403,$AL$8:$AL$32,0)),COUNTIF($AL$8:$AL$32,1403)&amp;"×")))</f>
      </c>
      <c r="R24" s="215">
        <f>IF(OR(Var_N&lt;2,SUM(Res_Motricidad)=0),"",IF(COUNTIF($AL$8:$AL$32,1503)=0,"",IF(COUNTIF($AL$8:$AL$32,1503)=1,INDEX(Res_Codigo,MATCH(1503,$AL$8:$AL$32,0)),COUNTIF($AL$8:$AL$32,1503)&amp;"×")))</f>
      </c>
      <c r="S24" s="215">
        <f>IF(OR(Var_N&lt;2,SUM(Res_Motricidad)=0),"",IF(COUNTIF($AL$8:$AL$32,1603)=0,"",IF(COUNTIF($AL$8:$AL$32,1603)=1,INDEX(Res_Codigo,MATCH(1603,$AL$8:$AL$32,0)),COUNTIF($AL$8:$AL$32,1603)&amp;"×")))</f>
      </c>
      <c r="T24" s="215">
        <f>IF(OR(Var_N&lt;2,SUM(Res_Motricidad)=0),"",IF(COUNTIF($AL$8:$AL$32,1703)=0,"",IF(COUNTIF($AL$8:$AL$32,1703)=1,INDEX(Res_Codigo,MATCH(1703,$AL$8:$AL$32,0)),COUNTIF($AL$8:$AL$32,1703)&amp;"×")))</f>
      </c>
      <c r="AJ24" s="191">
        <f>IF(17&gt;Var_N,"",COUNTIF(Res_Motricidad,"&gt;"&amp;INDEX(Res_Motricidad,17))+COUNTIF(OFFSET(Res_Motricidad,0,0,17,1),INDEX(Res_Motricidad,17)))</f>
      </c>
      <c r="AK24" s="191">
        <f>IF(17&gt;Var_N,"",COUNTIF(Res_Dependencia,"&gt;"&amp;INDEX(Res_Dependencia,17))+COUNTIF(OFFSET(Res_Dependencia,0,0,17,1),INDEX(Res_Dependencia,17)))</f>
      </c>
      <c r="AL24" s="191">
        <f>IF(17&gt;Var_N,"",MAX(0,MIN(18-1,INT(INDEX(Res_Dependencia,17)/MAX(1,MAX(Res_Dependencia))*18)))*100+MAX(0,MIN(12-1,12-1-INT(INDEX(Res_Motricidad,17)/MAX(1,MAX(Res_Motricidad))*12))))</f>
      </c>
      <c r="AM24" s="191">
        <f>IF(17&gt;Var_N,"",COUNTIF(Ind_Motricidad,"&gt;"&amp;INDEX(Ind_Motricidad,17))+COUNTIF(OFFSET(Ind_Motricidad,0,0,17,1),INDEX(Ind_Motricidad,17)))</f>
      </c>
      <c r="AN24" s="191">
        <f>IF(17&gt;Var_N,0,IF(INDEX(Res_RangoMot,17)-INDEX(Ind_RangoMot,17)&gt;=2,1,0))</f>
      </c>
    </row>
    <row r="25" ht="15" customHeight="1">
      <c r="C25" s="219">
        <f>IF(OR(Var_N&lt;2,SUM(Res_Motricidad)=0),"",IF(COUNTIF($AL$8:$AL$32,4)=0,"",IF(COUNTIF($AL$8:$AL$32,4)=1,INDEX(Res_Codigo,MATCH(4,$AL$8:$AL$32,0)),COUNTIF($AL$8:$AL$32,4)&amp;"×")))</f>
      </c>
      <c r="D25" s="214">
        <f>IF(OR(Var_N&lt;2,SUM(Res_Motricidad)=0),"",IF(COUNTIF($AL$8:$AL$32,104)=0,"",IF(COUNTIF($AL$8:$AL$32,104)=1,INDEX(Res_Codigo,MATCH(104,$AL$8:$AL$32,0)),COUNTIF($AL$8:$AL$32,104)&amp;"×")))</f>
      </c>
      <c r="E25" s="214">
        <f>IF(OR(Var_N&lt;2,SUM(Res_Motricidad)=0),"",IF(COUNTIF($AL$8:$AL$32,204)=0,"",IF(COUNTIF($AL$8:$AL$32,204)=1,INDEX(Res_Codigo,MATCH(204,$AL$8:$AL$32,0)),COUNTIF($AL$8:$AL$32,204)&amp;"×")))</f>
      </c>
      <c r="F25" s="214">
        <f>IF(OR(Var_N&lt;2,SUM(Res_Motricidad)=0),"",IF(COUNTIF($AL$8:$AL$32,304)=0,"",IF(COUNTIF($AL$8:$AL$32,304)=1,INDEX(Res_Codigo,MATCH(304,$AL$8:$AL$32,0)),COUNTIF($AL$8:$AL$32,304)&amp;"×")))</f>
      </c>
      <c r="G25" s="214">
        <f>IF(OR(Var_N&lt;2,SUM(Res_Motricidad)=0),"",IF(COUNTIF($AL$8:$AL$32,404)=0,"",IF(COUNTIF($AL$8:$AL$32,404)=1,INDEX(Res_Codigo,MATCH(404,$AL$8:$AL$32,0)),COUNTIF($AL$8:$AL$32,404)&amp;"×")))</f>
      </c>
      <c r="H25" s="214">
        <f>IF(OR(Var_N&lt;2,SUM(Res_Motricidad)=0),"",IF(COUNTIF($AL$8:$AL$32,504)=0,"",IF(COUNTIF($AL$8:$AL$32,504)=1,INDEX(Res_Codigo,MATCH(504,$AL$8:$AL$32,0)),COUNTIF($AL$8:$AL$32,504)&amp;"×")))</f>
      </c>
      <c r="I25" s="214">
        <f>IF(OR(Var_N&lt;2,SUM(Res_Motricidad)=0),"",IF(COUNTIF($AL$8:$AL$32,604)=0,"",IF(COUNTIF($AL$8:$AL$32,604)=1,INDEX(Res_Codigo,MATCH(604,$AL$8:$AL$32,0)),COUNTIF($AL$8:$AL$32,604)&amp;"×")))</f>
      </c>
      <c r="J25" s="214">
        <f>IF(OR(Var_N&lt;2,SUM(Res_Motricidad)=0),"",IF(COUNTIF($AL$8:$AL$32,704)=0,"",IF(COUNTIF($AL$8:$AL$32,704)=1,INDEX(Res_Codigo,MATCH(704,$AL$8:$AL$32,0)),COUNTIF($AL$8:$AL$32,704)&amp;"×")))</f>
      </c>
      <c r="K25" s="214">
        <f>IF(OR(Var_N&lt;2,SUM(Res_Motricidad)=0),"",IF(COUNTIF($AL$8:$AL$32,804)=0,"",IF(COUNTIF($AL$8:$AL$32,804)=1,INDEX(Res_Codigo,MATCH(804,$AL$8:$AL$32,0)),COUNTIF($AL$8:$AL$32,804)&amp;"×")))</f>
      </c>
      <c r="L25" s="224">
        <f>IF(OR(Var_N&lt;2,SUM(Res_Motricidad)=0),"",IF(COUNTIF($AL$8:$AL$32,904)=0,"",IF(COUNTIF($AL$8:$AL$32,904)=1,INDEX(Res_Codigo,MATCH(904,$AL$8:$AL$32,0)),COUNTIF($AL$8:$AL$32,904)&amp;"×")))</f>
      </c>
      <c r="M25" s="215">
        <f>IF(OR(Var_N&lt;2,SUM(Res_Motricidad)=0),"",IF(COUNTIF($AL$8:$AL$32,1004)=0,"",IF(COUNTIF($AL$8:$AL$32,1004)=1,INDEX(Res_Codigo,MATCH(1004,$AL$8:$AL$32,0)),COUNTIF($AL$8:$AL$32,1004)&amp;"×")))</f>
      </c>
      <c r="N25" s="215">
        <f>IF(OR(Var_N&lt;2,SUM(Res_Motricidad)=0),"",IF(COUNTIF($AL$8:$AL$32,1104)=0,"",IF(COUNTIF($AL$8:$AL$32,1104)=1,INDEX(Res_Codigo,MATCH(1104,$AL$8:$AL$32,0)),COUNTIF($AL$8:$AL$32,1104)&amp;"×")))</f>
      </c>
      <c r="O25" s="215">
        <f>IF(OR(Var_N&lt;2,SUM(Res_Motricidad)=0),"",IF(COUNTIF($AL$8:$AL$32,1204)=0,"",IF(COUNTIF($AL$8:$AL$32,1204)=1,INDEX(Res_Codigo,MATCH(1204,$AL$8:$AL$32,0)),COUNTIF($AL$8:$AL$32,1204)&amp;"×")))</f>
      </c>
      <c r="P25" s="215">
        <f>IF(OR(Var_N&lt;2,SUM(Res_Motricidad)=0),"",IF(COUNTIF($AL$8:$AL$32,1304)=0,"",IF(COUNTIF($AL$8:$AL$32,1304)=1,INDEX(Res_Codigo,MATCH(1304,$AL$8:$AL$32,0)),COUNTIF($AL$8:$AL$32,1304)&amp;"×")))</f>
      </c>
      <c r="Q25" s="215">
        <f>IF(OR(Var_N&lt;2,SUM(Res_Motricidad)=0),"",IF(COUNTIF($AL$8:$AL$32,1404)=0,"",IF(COUNTIF($AL$8:$AL$32,1404)=1,INDEX(Res_Codigo,MATCH(1404,$AL$8:$AL$32,0)),COUNTIF($AL$8:$AL$32,1404)&amp;"×")))</f>
      </c>
      <c r="R25" s="215">
        <f>IF(OR(Var_N&lt;2,SUM(Res_Motricidad)=0),"",IF(COUNTIF($AL$8:$AL$32,1504)=0,"",IF(COUNTIF($AL$8:$AL$32,1504)=1,INDEX(Res_Codigo,MATCH(1504,$AL$8:$AL$32,0)),COUNTIF($AL$8:$AL$32,1504)&amp;"×")))</f>
      </c>
      <c r="S25" s="215">
        <f>IF(OR(Var_N&lt;2,SUM(Res_Motricidad)=0),"",IF(COUNTIF($AL$8:$AL$32,1604)=0,"",IF(COUNTIF($AL$8:$AL$32,1604)=1,INDEX(Res_Codigo,MATCH(1604,$AL$8:$AL$32,0)),COUNTIF($AL$8:$AL$32,1604)&amp;"×")))</f>
      </c>
      <c r="T25" s="215">
        <f>IF(OR(Var_N&lt;2,SUM(Res_Motricidad)=0),"",IF(COUNTIF($AL$8:$AL$32,1704)=0,"",IF(COUNTIF($AL$8:$AL$32,1704)=1,INDEX(Res_Codigo,MATCH(1704,$AL$8:$AL$32,0)),COUNTIF($AL$8:$AL$32,1704)&amp;"×")))</f>
      </c>
      <c r="AJ25" s="191">
        <f>IF(18&gt;Var_N,"",COUNTIF(Res_Motricidad,"&gt;"&amp;INDEX(Res_Motricidad,18))+COUNTIF(OFFSET(Res_Motricidad,0,0,18,1),INDEX(Res_Motricidad,18)))</f>
      </c>
      <c r="AK25" s="191">
        <f>IF(18&gt;Var_N,"",COUNTIF(Res_Dependencia,"&gt;"&amp;INDEX(Res_Dependencia,18))+COUNTIF(OFFSET(Res_Dependencia,0,0,18,1),INDEX(Res_Dependencia,18)))</f>
      </c>
      <c r="AL25" s="191">
        <f>IF(18&gt;Var_N,"",MAX(0,MIN(18-1,INT(INDEX(Res_Dependencia,18)/MAX(1,MAX(Res_Dependencia))*18)))*100+MAX(0,MIN(12-1,12-1-INT(INDEX(Res_Motricidad,18)/MAX(1,MAX(Res_Motricidad))*12))))</f>
      </c>
      <c r="AM25" s="191">
        <f>IF(18&gt;Var_N,"",COUNTIF(Ind_Motricidad,"&gt;"&amp;INDEX(Ind_Motricidad,18))+COUNTIF(OFFSET(Ind_Motricidad,0,0,18,1),INDEX(Ind_Motricidad,18)))</f>
      </c>
      <c r="AN25" s="191">
        <f>IF(18&gt;Var_N,0,IF(INDEX(Res_RangoMot,18)-INDEX(Ind_RangoMot,18)&gt;=2,1,0))</f>
      </c>
    </row>
    <row r="26" ht="15" customHeight="1">
      <c r="C26" s="219">
        <f>IF(OR(Var_N&lt;2,SUM(Res_Motricidad)=0),"",IF(COUNTIF($AL$8:$AL$32,5)=0,"",IF(COUNTIF($AL$8:$AL$32,5)=1,INDEX(Res_Codigo,MATCH(5,$AL$8:$AL$32,0)),COUNTIF($AL$8:$AL$32,5)&amp;"×")))</f>
      </c>
      <c r="D26" s="214">
        <f>IF(OR(Var_N&lt;2,SUM(Res_Motricidad)=0),"",IF(COUNTIF($AL$8:$AL$32,105)=0,"",IF(COUNTIF($AL$8:$AL$32,105)=1,INDEX(Res_Codigo,MATCH(105,$AL$8:$AL$32,0)),COUNTIF($AL$8:$AL$32,105)&amp;"×")))</f>
      </c>
      <c r="E26" s="214">
        <f>IF(OR(Var_N&lt;2,SUM(Res_Motricidad)=0),"",IF(COUNTIF($AL$8:$AL$32,205)=0,"",IF(COUNTIF($AL$8:$AL$32,205)=1,INDEX(Res_Codigo,MATCH(205,$AL$8:$AL$32,0)),COUNTIF($AL$8:$AL$32,205)&amp;"×")))</f>
      </c>
      <c r="F26" s="214">
        <f>IF(OR(Var_N&lt;2,SUM(Res_Motricidad)=0),"",IF(COUNTIF($AL$8:$AL$32,305)=0,"",IF(COUNTIF($AL$8:$AL$32,305)=1,INDEX(Res_Codigo,MATCH(305,$AL$8:$AL$32,0)),COUNTIF($AL$8:$AL$32,305)&amp;"×")))</f>
      </c>
      <c r="G26" s="214">
        <f>IF(OR(Var_N&lt;2,SUM(Res_Motricidad)=0),"",IF(COUNTIF($AL$8:$AL$32,405)=0,"",IF(COUNTIF($AL$8:$AL$32,405)=1,INDEX(Res_Codigo,MATCH(405,$AL$8:$AL$32,0)),COUNTIF($AL$8:$AL$32,405)&amp;"×")))</f>
      </c>
      <c r="H26" s="214">
        <f>IF(OR(Var_N&lt;2,SUM(Res_Motricidad)=0),"",IF(COUNTIF($AL$8:$AL$32,505)=0,"",IF(COUNTIF($AL$8:$AL$32,505)=1,INDEX(Res_Codigo,MATCH(505,$AL$8:$AL$32,0)),COUNTIF($AL$8:$AL$32,505)&amp;"×")))</f>
      </c>
      <c r="I26" s="214">
        <f>IF(OR(Var_N&lt;2,SUM(Res_Motricidad)=0),"",IF(COUNTIF($AL$8:$AL$32,605)=0,"",IF(COUNTIF($AL$8:$AL$32,605)=1,INDEX(Res_Codigo,MATCH(605,$AL$8:$AL$32,0)),COUNTIF($AL$8:$AL$32,605)&amp;"×")))</f>
      </c>
      <c r="J26" s="214">
        <f>IF(OR(Var_N&lt;2,SUM(Res_Motricidad)=0),"",IF(COUNTIF($AL$8:$AL$32,705)=0,"",IF(COUNTIF($AL$8:$AL$32,705)=1,INDEX(Res_Codigo,MATCH(705,$AL$8:$AL$32,0)),COUNTIF($AL$8:$AL$32,705)&amp;"×")))</f>
      </c>
      <c r="K26" s="214">
        <f>IF(OR(Var_N&lt;2,SUM(Res_Motricidad)=0),"",IF(COUNTIF($AL$8:$AL$32,805)=0,"",IF(COUNTIF($AL$8:$AL$32,805)=1,INDEX(Res_Codigo,MATCH(805,$AL$8:$AL$32,0)),COUNTIF($AL$8:$AL$32,805)&amp;"×")))</f>
      </c>
      <c r="L26" s="224">
        <f>IF(OR(Var_N&lt;2,SUM(Res_Motricidad)=0),"",IF(COUNTIF($AL$8:$AL$32,905)=0,"",IF(COUNTIF($AL$8:$AL$32,905)=1,INDEX(Res_Codigo,MATCH(905,$AL$8:$AL$32,0)),COUNTIF($AL$8:$AL$32,905)&amp;"×")))</f>
      </c>
      <c r="M26" s="215">
        <f>IF(OR(Var_N&lt;2,SUM(Res_Motricidad)=0),"",IF(COUNTIF($AL$8:$AL$32,1005)=0,"",IF(COUNTIF($AL$8:$AL$32,1005)=1,INDEX(Res_Codigo,MATCH(1005,$AL$8:$AL$32,0)),COUNTIF($AL$8:$AL$32,1005)&amp;"×")))</f>
      </c>
      <c r="N26" s="215">
        <f>IF(OR(Var_N&lt;2,SUM(Res_Motricidad)=0),"",IF(COUNTIF($AL$8:$AL$32,1105)=0,"",IF(COUNTIF($AL$8:$AL$32,1105)=1,INDEX(Res_Codigo,MATCH(1105,$AL$8:$AL$32,0)),COUNTIF($AL$8:$AL$32,1105)&amp;"×")))</f>
      </c>
      <c r="O26" s="215">
        <f>IF(OR(Var_N&lt;2,SUM(Res_Motricidad)=0),"",IF(COUNTIF($AL$8:$AL$32,1205)=0,"",IF(COUNTIF($AL$8:$AL$32,1205)=1,INDEX(Res_Codigo,MATCH(1205,$AL$8:$AL$32,0)),COUNTIF($AL$8:$AL$32,1205)&amp;"×")))</f>
      </c>
      <c r="P26" s="215">
        <f>IF(OR(Var_N&lt;2,SUM(Res_Motricidad)=0),"",IF(COUNTIF($AL$8:$AL$32,1305)=0,"",IF(COUNTIF($AL$8:$AL$32,1305)=1,INDEX(Res_Codigo,MATCH(1305,$AL$8:$AL$32,0)),COUNTIF($AL$8:$AL$32,1305)&amp;"×")))</f>
      </c>
      <c r="Q26" s="215">
        <f>IF(OR(Var_N&lt;2,SUM(Res_Motricidad)=0),"",IF(COUNTIF($AL$8:$AL$32,1405)=0,"",IF(COUNTIF($AL$8:$AL$32,1405)=1,INDEX(Res_Codigo,MATCH(1405,$AL$8:$AL$32,0)),COUNTIF($AL$8:$AL$32,1405)&amp;"×")))</f>
      </c>
      <c r="R26" s="215">
        <f>IF(OR(Var_N&lt;2,SUM(Res_Motricidad)=0),"",IF(COUNTIF($AL$8:$AL$32,1505)=0,"",IF(COUNTIF($AL$8:$AL$32,1505)=1,INDEX(Res_Codigo,MATCH(1505,$AL$8:$AL$32,0)),COUNTIF($AL$8:$AL$32,1505)&amp;"×")))</f>
      </c>
      <c r="S26" s="215">
        <f>IF(OR(Var_N&lt;2,SUM(Res_Motricidad)=0),"",IF(COUNTIF($AL$8:$AL$32,1605)=0,"",IF(COUNTIF($AL$8:$AL$32,1605)=1,INDEX(Res_Codigo,MATCH(1605,$AL$8:$AL$32,0)),COUNTIF($AL$8:$AL$32,1605)&amp;"×")))</f>
      </c>
      <c r="T26" s="215">
        <f>IF(OR(Var_N&lt;2,SUM(Res_Motricidad)=0),"",IF(COUNTIF($AL$8:$AL$32,1705)=0,"",IF(COUNTIF($AL$8:$AL$32,1705)=1,INDEX(Res_Codigo,MATCH(1705,$AL$8:$AL$32,0)),COUNTIF($AL$8:$AL$32,1705)&amp;"×")))</f>
      </c>
      <c r="AJ26" s="191">
        <f>IF(19&gt;Var_N,"",COUNTIF(Res_Motricidad,"&gt;"&amp;INDEX(Res_Motricidad,19))+COUNTIF(OFFSET(Res_Motricidad,0,0,19,1),INDEX(Res_Motricidad,19)))</f>
      </c>
      <c r="AK26" s="191">
        <f>IF(19&gt;Var_N,"",COUNTIF(Res_Dependencia,"&gt;"&amp;INDEX(Res_Dependencia,19))+COUNTIF(OFFSET(Res_Dependencia,0,0,19,1),INDEX(Res_Dependencia,19)))</f>
      </c>
      <c r="AL26" s="191">
        <f>IF(19&gt;Var_N,"",MAX(0,MIN(18-1,INT(INDEX(Res_Dependencia,19)/MAX(1,MAX(Res_Dependencia))*18)))*100+MAX(0,MIN(12-1,12-1-INT(INDEX(Res_Motricidad,19)/MAX(1,MAX(Res_Motricidad))*12))))</f>
      </c>
      <c r="AM26" s="191">
        <f>IF(19&gt;Var_N,"",COUNTIF(Ind_Motricidad,"&gt;"&amp;INDEX(Ind_Motricidad,19))+COUNTIF(OFFSET(Ind_Motricidad,0,0,19,1),INDEX(Ind_Motricidad,19)))</f>
      </c>
      <c r="AN26" s="191">
        <f>IF(19&gt;Var_N,0,IF(INDEX(Res_RangoMot,19)-INDEX(Ind_RangoMot,19)&gt;=2,1,0))</f>
      </c>
    </row>
    <row r="27" ht="15" customHeight="1">
      <c r="C27" s="220">
        <f>IF(OR(Var_N&lt;2,SUM(Res_Motricidad)=0),"",IF(COUNTIF($AL$8:$AL$32,6)=0,"",IF(COUNTIF($AL$8:$AL$32,6)=1,INDEX(Res_Codigo,MATCH(6,$AL$8:$AL$32,0)),COUNTIF($AL$8:$AL$32,6)&amp;"×")))</f>
      </c>
      <c r="D27" s="226">
        <f>IF(OR(Var_N&lt;2,SUM(Res_Motricidad)=0),"",IF(COUNTIF($AL$8:$AL$32,106)=0,"",IF(COUNTIF($AL$8:$AL$32,106)=1,INDEX(Res_Codigo,MATCH(106,$AL$8:$AL$32,0)),COUNTIF($AL$8:$AL$32,106)&amp;"×")))</f>
      </c>
      <c r="E27" s="226">
        <f>IF(OR(Var_N&lt;2,SUM(Res_Motricidad)=0),"",IF(COUNTIF($AL$8:$AL$32,206)=0,"",IF(COUNTIF($AL$8:$AL$32,206)=1,INDEX(Res_Codigo,MATCH(206,$AL$8:$AL$32,0)),COUNTIF($AL$8:$AL$32,206)&amp;"×")))</f>
      </c>
      <c r="F27" s="226">
        <f>IF(OR(Var_N&lt;2,SUM(Res_Motricidad)=0),"",IF(COUNTIF($AL$8:$AL$32,306)=0,"",IF(COUNTIF($AL$8:$AL$32,306)=1,INDEX(Res_Codigo,MATCH(306,$AL$8:$AL$32,0)),COUNTIF($AL$8:$AL$32,306)&amp;"×")))</f>
      </c>
      <c r="G27" s="226">
        <f>IF(OR(Var_N&lt;2,SUM(Res_Motricidad)=0),"",IF(COUNTIF($AL$8:$AL$32,406)=0,"",IF(COUNTIF($AL$8:$AL$32,406)=1,INDEX(Res_Codigo,MATCH(406,$AL$8:$AL$32,0)),COUNTIF($AL$8:$AL$32,406)&amp;"×")))</f>
      </c>
      <c r="H27" s="226">
        <f>IF(OR(Var_N&lt;2,SUM(Res_Motricidad)=0),"",IF(COUNTIF($AL$8:$AL$32,506)=0,"",IF(COUNTIF($AL$8:$AL$32,506)=1,INDEX(Res_Codigo,MATCH(506,$AL$8:$AL$32,0)),COUNTIF($AL$8:$AL$32,506)&amp;"×")))</f>
      </c>
      <c r="I27" s="226">
        <f>IF(OR(Var_N&lt;2,SUM(Res_Motricidad)=0),"",IF(COUNTIF($AL$8:$AL$32,606)=0,"",IF(COUNTIF($AL$8:$AL$32,606)=1,INDEX(Res_Codigo,MATCH(606,$AL$8:$AL$32,0)),COUNTIF($AL$8:$AL$32,606)&amp;"×")))</f>
      </c>
      <c r="J27" s="226">
        <f>IF(OR(Var_N&lt;2,SUM(Res_Motricidad)=0),"",IF(COUNTIF($AL$8:$AL$32,706)=0,"",IF(COUNTIF($AL$8:$AL$32,706)=1,INDEX(Res_Codigo,MATCH(706,$AL$8:$AL$32,0)),COUNTIF($AL$8:$AL$32,706)&amp;"×")))</f>
      </c>
      <c r="K27" s="226">
        <f>IF(OR(Var_N&lt;2,SUM(Res_Motricidad)=0),"",IF(COUNTIF($AL$8:$AL$32,806)=0,"",IF(COUNTIF($AL$8:$AL$32,806)=1,INDEX(Res_Codigo,MATCH(806,$AL$8:$AL$32,0)),COUNTIF($AL$8:$AL$32,806)&amp;"×")))</f>
      </c>
      <c r="L27" s="227">
        <f>IF(OR(Var_N&lt;2,SUM(Res_Motricidad)=0),"",IF(COUNTIF($AL$8:$AL$32,906)=0,"",IF(COUNTIF($AL$8:$AL$32,906)=1,INDEX(Res_Codigo,MATCH(906,$AL$8:$AL$32,0)),COUNTIF($AL$8:$AL$32,906)&amp;"×")))</f>
      </c>
      <c r="M27" s="227">
        <f>IF(OR(Var_N&lt;2,SUM(Res_Motricidad)=0),"",IF(COUNTIF($AL$8:$AL$32,1006)=0,"",IF(COUNTIF($AL$8:$AL$32,1006)=1,INDEX(Res_Codigo,MATCH(1006,$AL$8:$AL$32,0)),COUNTIF($AL$8:$AL$32,1006)&amp;"×")))</f>
      </c>
      <c r="N27" s="227">
        <f>IF(OR(Var_N&lt;2,SUM(Res_Motricidad)=0),"",IF(COUNTIF($AL$8:$AL$32,1106)=0,"",IF(COUNTIF($AL$8:$AL$32,1106)=1,INDEX(Res_Codigo,MATCH(1106,$AL$8:$AL$32,0)),COUNTIF($AL$8:$AL$32,1106)&amp;"×")))</f>
      </c>
      <c r="O27" s="227">
        <f>IF(OR(Var_N&lt;2,SUM(Res_Motricidad)=0),"",IF(COUNTIF($AL$8:$AL$32,1206)=0,"",IF(COUNTIF($AL$8:$AL$32,1206)=1,INDEX(Res_Codigo,MATCH(1206,$AL$8:$AL$32,0)),COUNTIF($AL$8:$AL$32,1206)&amp;"×")))</f>
      </c>
      <c r="P27" s="227">
        <f>IF(OR(Var_N&lt;2,SUM(Res_Motricidad)=0),"",IF(COUNTIF($AL$8:$AL$32,1306)=0,"",IF(COUNTIF($AL$8:$AL$32,1306)=1,INDEX(Res_Codigo,MATCH(1306,$AL$8:$AL$32,0)),COUNTIF($AL$8:$AL$32,1306)&amp;"×")))</f>
      </c>
      <c r="Q27" s="227">
        <f>IF(OR(Var_N&lt;2,SUM(Res_Motricidad)=0),"",IF(COUNTIF($AL$8:$AL$32,1406)=0,"",IF(COUNTIF($AL$8:$AL$32,1406)=1,INDEX(Res_Codigo,MATCH(1406,$AL$8:$AL$32,0)),COUNTIF($AL$8:$AL$32,1406)&amp;"×")))</f>
      </c>
      <c r="R27" s="227">
        <f>IF(OR(Var_N&lt;2,SUM(Res_Motricidad)=0),"",IF(COUNTIF($AL$8:$AL$32,1506)=0,"",IF(COUNTIF($AL$8:$AL$32,1506)=1,INDEX(Res_Codigo,MATCH(1506,$AL$8:$AL$32,0)),COUNTIF($AL$8:$AL$32,1506)&amp;"×")))</f>
      </c>
      <c r="S27" s="227">
        <f>IF(OR(Var_N&lt;2,SUM(Res_Motricidad)=0),"",IF(COUNTIF($AL$8:$AL$32,1606)=0,"",IF(COUNTIF($AL$8:$AL$32,1606)=1,INDEX(Res_Codigo,MATCH(1606,$AL$8:$AL$32,0)),COUNTIF($AL$8:$AL$32,1606)&amp;"×")))</f>
      </c>
      <c r="T27" s="227">
        <f>IF(OR(Var_N&lt;2,SUM(Res_Motricidad)=0),"",IF(COUNTIF($AL$8:$AL$32,1706)=0,"",IF(COUNTIF($AL$8:$AL$32,1706)=1,INDEX(Res_Codigo,MATCH(1706,$AL$8:$AL$32,0)),COUNTIF($AL$8:$AL$32,1706)&amp;"×")))</f>
      </c>
      <c r="AJ27" s="191">
        <f>IF(20&gt;Var_N,"",COUNTIF(Res_Motricidad,"&gt;"&amp;INDEX(Res_Motricidad,20))+COUNTIF(OFFSET(Res_Motricidad,0,0,20,1),INDEX(Res_Motricidad,20)))</f>
      </c>
      <c r="AK27" s="191">
        <f>IF(20&gt;Var_N,"",COUNTIF(Res_Dependencia,"&gt;"&amp;INDEX(Res_Dependencia,20))+COUNTIF(OFFSET(Res_Dependencia,0,0,20,1),INDEX(Res_Dependencia,20)))</f>
      </c>
      <c r="AL27" s="191">
        <f>IF(20&gt;Var_N,"",MAX(0,MIN(18-1,INT(INDEX(Res_Dependencia,20)/MAX(1,MAX(Res_Dependencia))*18)))*100+MAX(0,MIN(12-1,12-1-INT(INDEX(Res_Motricidad,20)/MAX(1,MAX(Res_Motricidad))*12))))</f>
      </c>
      <c r="AM27" s="191">
        <f>IF(20&gt;Var_N,"",COUNTIF(Ind_Motricidad,"&gt;"&amp;INDEX(Ind_Motricidad,20))+COUNTIF(OFFSET(Ind_Motricidad,0,0,20,1),INDEX(Ind_Motricidad,20)))</f>
      </c>
      <c r="AN27" s="191">
        <f>IF(20&gt;Var_N,0,IF(INDEX(Res_RangoMot,20)-INDEX(Ind_RangoMot,20)&gt;=2,1,0))</f>
      </c>
    </row>
    <row r="28" ht="15" customHeight="1">
      <c r="C28" s="220">
        <f>IF(OR(Var_N&lt;2,SUM(Res_Motricidad)=0),"",IF(COUNTIF($AL$8:$AL$32,7)=0,"",IF(COUNTIF($AL$8:$AL$32,7)=1,INDEX(Res_Codigo,MATCH(7,$AL$8:$AL$32,0)),COUNTIF($AL$8:$AL$32,7)&amp;"×")))</f>
      </c>
      <c r="D28" s="216">
        <f>IF(OR(Var_N&lt;2,SUM(Res_Motricidad)=0),"",IF(COUNTIF($AL$8:$AL$32,107)=0,"",IF(COUNTIF($AL$8:$AL$32,107)=1,INDEX(Res_Codigo,MATCH(107,$AL$8:$AL$32,0)),COUNTIF($AL$8:$AL$32,107)&amp;"×")))</f>
      </c>
      <c r="E28" s="216">
        <f>IF(OR(Var_N&lt;2,SUM(Res_Motricidad)=0),"",IF(COUNTIF($AL$8:$AL$32,207)=0,"",IF(COUNTIF($AL$8:$AL$32,207)=1,INDEX(Res_Codigo,MATCH(207,$AL$8:$AL$32,0)),COUNTIF($AL$8:$AL$32,207)&amp;"×")))</f>
      </c>
      <c r="F28" s="216">
        <f>IF(OR(Var_N&lt;2,SUM(Res_Motricidad)=0),"",IF(COUNTIF($AL$8:$AL$32,307)=0,"",IF(COUNTIF($AL$8:$AL$32,307)=1,INDEX(Res_Codigo,MATCH(307,$AL$8:$AL$32,0)),COUNTIF($AL$8:$AL$32,307)&amp;"×")))</f>
      </c>
      <c r="G28" s="216">
        <f>IF(OR(Var_N&lt;2,SUM(Res_Motricidad)=0),"",IF(COUNTIF($AL$8:$AL$32,407)=0,"",IF(COUNTIF($AL$8:$AL$32,407)=1,INDEX(Res_Codigo,MATCH(407,$AL$8:$AL$32,0)),COUNTIF($AL$8:$AL$32,407)&amp;"×")))</f>
      </c>
      <c r="H28" s="216">
        <f>IF(OR(Var_N&lt;2,SUM(Res_Motricidad)=0),"",IF(COUNTIF($AL$8:$AL$32,507)=0,"",IF(COUNTIF($AL$8:$AL$32,507)=1,INDEX(Res_Codigo,MATCH(507,$AL$8:$AL$32,0)),COUNTIF($AL$8:$AL$32,507)&amp;"×")))</f>
      </c>
      <c r="I28" s="216">
        <f>IF(OR(Var_N&lt;2,SUM(Res_Motricidad)=0),"",IF(COUNTIF($AL$8:$AL$32,607)=0,"",IF(COUNTIF($AL$8:$AL$32,607)=1,INDEX(Res_Codigo,MATCH(607,$AL$8:$AL$32,0)),COUNTIF($AL$8:$AL$32,607)&amp;"×")))</f>
      </c>
      <c r="J28" s="216">
        <f>IF(OR(Var_N&lt;2,SUM(Res_Motricidad)=0),"",IF(COUNTIF($AL$8:$AL$32,707)=0,"",IF(COUNTIF($AL$8:$AL$32,707)=1,INDEX(Res_Codigo,MATCH(707,$AL$8:$AL$32,0)),COUNTIF($AL$8:$AL$32,707)&amp;"×")))</f>
      </c>
      <c r="K28" s="216">
        <f>IF(OR(Var_N&lt;2,SUM(Res_Motricidad)=0),"",IF(COUNTIF($AL$8:$AL$32,807)=0,"",IF(COUNTIF($AL$8:$AL$32,807)=1,INDEX(Res_Codigo,MATCH(807,$AL$8:$AL$32,0)),COUNTIF($AL$8:$AL$32,807)&amp;"×")))</f>
      </c>
      <c r="L28" s="225">
        <f>IF(OR(Var_N&lt;2,SUM(Res_Motricidad)=0),"",IF(COUNTIF($AL$8:$AL$32,907)=0,"",IF(COUNTIF($AL$8:$AL$32,907)=1,INDEX(Res_Codigo,MATCH(907,$AL$8:$AL$32,0)),COUNTIF($AL$8:$AL$32,907)&amp;"×")))</f>
      </c>
      <c r="M28" s="217">
        <f>IF(OR(Var_N&lt;2,SUM(Res_Motricidad)=0),"",IF(COUNTIF($AL$8:$AL$32,1007)=0,"",IF(COUNTIF($AL$8:$AL$32,1007)=1,INDEX(Res_Codigo,MATCH(1007,$AL$8:$AL$32,0)),COUNTIF($AL$8:$AL$32,1007)&amp;"×")))</f>
      </c>
      <c r="N28" s="217">
        <f>IF(OR(Var_N&lt;2,SUM(Res_Motricidad)=0),"",IF(COUNTIF($AL$8:$AL$32,1107)=0,"",IF(COUNTIF($AL$8:$AL$32,1107)=1,INDEX(Res_Codigo,MATCH(1107,$AL$8:$AL$32,0)),COUNTIF($AL$8:$AL$32,1107)&amp;"×")))</f>
      </c>
      <c r="O28" s="217">
        <f>IF(OR(Var_N&lt;2,SUM(Res_Motricidad)=0),"",IF(COUNTIF($AL$8:$AL$32,1207)=0,"",IF(COUNTIF($AL$8:$AL$32,1207)=1,INDEX(Res_Codigo,MATCH(1207,$AL$8:$AL$32,0)),COUNTIF($AL$8:$AL$32,1207)&amp;"×")))</f>
      </c>
      <c r="P28" s="217">
        <f>IF(OR(Var_N&lt;2,SUM(Res_Motricidad)=0),"",IF(COUNTIF($AL$8:$AL$32,1307)=0,"",IF(COUNTIF($AL$8:$AL$32,1307)=1,INDEX(Res_Codigo,MATCH(1307,$AL$8:$AL$32,0)),COUNTIF($AL$8:$AL$32,1307)&amp;"×")))</f>
      </c>
      <c r="Q28" s="217">
        <f>IF(OR(Var_N&lt;2,SUM(Res_Motricidad)=0),"",IF(COUNTIF($AL$8:$AL$32,1407)=0,"",IF(COUNTIF($AL$8:$AL$32,1407)=1,INDEX(Res_Codigo,MATCH(1407,$AL$8:$AL$32,0)),COUNTIF($AL$8:$AL$32,1407)&amp;"×")))</f>
      </c>
      <c r="R28" s="217">
        <f>IF(OR(Var_N&lt;2,SUM(Res_Motricidad)=0),"",IF(COUNTIF($AL$8:$AL$32,1507)=0,"",IF(COUNTIF($AL$8:$AL$32,1507)=1,INDEX(Res_Codigo,MATCH(1507,$AL$8:$AL$32,0)),COUNTIF($AL$8:$AL$32,1507)&amp;"×")))</f>
      </c>
      <c r="S28" s="217">
        <f>IF(OR(Var_N&lt;2,SUM(Res_Motricidad)=0),"",IF(COUNTIF($AL$8:$AL$32,1607)=0,"",IF(COUNTIF($AL$8:$AL$32,1607)=1,INDEX(Res_Codigo,MATCH(1607,$AL$8:$AL$32,0)),COUNTIF($AL$8:$AL$32,1607)&amp;"×")))</f>
      </c>
      <c r="T28" s="217">
        <f>IF(OR(Var_N&lt;2,SUM(Res_Motricidad)=0),"",IF(COUNTIF($AL$8:$AL$32,1707)=0,"",IF(COUNTIF($AL$8:$AL$32,1707)=1,INDEX(Res_Codigo,MATCH(1707,$AL$8:$AL$32,0)),COUNTIF($AL$8:$AL$32,1707)&amp;"×")))</f>
      </c>
      <c r="AJ28" s="191">
        <f>IF(21&gt;Var_N,"",COUNTIF(Res_Motricidad,"&gt;"&amp;INDEX(Res_Motricidad,21))+COUNTIF(OFFSET(Res_Motricidad,0,0,21,1),INDEX(Res_Motricidad,21)))</f>
      </c>
      <c r="AK28" s="191">
        <f>IF(21&gt;Var_N,"",COUNTIF(Res_Dependencia,"&gt;"&amp;INDEX(Res_Dependencia,21))+COUNTIF(OFFSET(Res_Dependencia,0,0,21,1),INDEX(Res_Dependencia,21)))</f>
      </c>
      <c r="AL28" s="191">
        <f>IF(21&gt;Var_N,"",MAX(0,MIN(18-1,INT(INDEX(Res_Dependencia,21)/MAX(1,MAX(Res_Dependencia))*18)))*100+MAX(0,MIN(12-1,12-1-INT(INDEX(Res_Motricidad,21)/MAX(1,MAX(Res_Motricidad))*12))))</f>
      </c>
      <c r="AM28" s="191">
        <f>IF(21&gt;Var_N,"",COUNTIF(Ind_Motricidad,"&gt;"&amp;INDEX(Ind_Motricidad,21))+COUNTIF(OFFSET(Ind_Motricidad,0,0,21,1),INDEX(Ind_Motricidad,21)))</f>
      </c>
      <c r="AN28" s="191">
        <f>IF(21&gt;Var_N,0,IF(INDEX(Res_RangoMot,21)-INDEX(Ind_RangoMot,21)&gt;=2,1,0))</f>
      </c>
    </row>
    <row r="29" ht="15" customHeight="1">
      <c r="C29" s="220">
        <f>IF(OR(Var_N&lt;2,SUM(Res_Motricidad)=0),"",IF(COUNTIF($AL$8:$AL$32,8)=0,"",IF(COUNTIF($AL$8:$AL$32,8)=1,INDEX(Res_Codigo,MATCH(8,$AL$8:$AL$32,0)),COUNTIF($AL$8:$AL$32,8)&amp;"×")))</f>
      </c>
      <c r="D29" s="216">
        <f>IF(OR(Var_N&lt;2,SUM(Res_Motricidad)=0),"",IF(COUNTIF($AL$8:$AL$32,108)=0,"",IF(COUNTIF($AL$8:$AL$32,108)=1,INDEX(Res_Codigo,MATCH(108,$AL$8:$AL$32,0)),COUNTIF($AL$8:$AL$32,108)&amp;"×")))</f>
      </c>
      <c r="E29" s="216">
        <f>IF(OR(Var_N&lt;2,SUM(Res_Motricidad)=0),"",IF(COUNTIF($AL$8:$AL$32,208)=0,"",IF(COUNTIF($AL$8:$AL$32,208)=1,INDEX(Res_Codigo,MATCH(208,$AL$8:$AL$32,0)),COUNTIF($AL$8:$AL$32,208)&amp;"×")))</f>
      </c>
      <c r="F29" s="216">
        <f>IF(OR(Var_N&lt;2,SUM(Res_Motricidad)=0),"",IF(COUNTIF($AL$8:$AL$32,308)=0,"",IF(COUNTIF($AL$8:$AL$32,308)=1,INDEX(Res_Codigo,MATCH(308,$AL$8:$AL$32,0)),COUNTIF($AL$8:$AL$32,308)&amp;"×")))</f>
      </c>
      <c r="G29" s="216">
        <f>IF(OR(Var_N&lt;2,SUM(Res_Motricidad)=0),"",IF(COUNTIF($AL$8:$AL$32,408)=0,"",IF(COUNTIF($AL$8:$AL$32,408)=1,INDEX(Res_Codigo,MATCH(408,$AL$8:$AL$32,0)),COUNTIF($AL$8:$AL$32,408)&amp;"×")))</f>
      </c>
      <c r="H29" s="216">
        <f>IF(OR(Var_N&lt;2,SUM(Res_Motricidad)=0),"",IF(COUNTIF($AL$8:$AL$32,508)=0,"",IF(COUNTIF($AL$8:$AL$32,508)=1,INDEX(Res_Codigo,MATCH(508,$AL$8:$AL$32,0)),COUNTIF($AL$8:$AL$32,508)&amp;"×")))</f>
      </c>
      <c r="I29" s="216">
        <f>IF(OR(Var_N&lt;2,SUM(Res_Motricidad)=0),"",IF(COUNTIF($AL$8:$AL$32,608)=0,"",IF(COUNTIF($AL$8:$AL$32,608)=1,INDEX(Res_Codigo,MATCH(608,$AL$8:$AL$32,0)),COUNTIF($AL$8:$AL$32,608)&amp;"×")))</f>
      </c>
      <c r="J29" s="216">
        <f>IF(OR(Var_N&lt;2,SUM(Res_Motricidad)=0),"",IF(COUNTIF($AL$8:$AL$32,708)=0,"",IF(COUNTIF($AL$8:$AL$32,708)=1,INDEX(Res_Codigo,MATCH(708,$AL$8:$AL$32,0)),COUNTIF($AL$8:$AL$32,708)&amp;"×")))</f>
      </c>
      <c r="K29" s="216">
        <f>IF(OR(Var_N&lt;2,SUM(Res_Motricidad)=0),"",IF(COUNTIF($AL$8:$AL$32,808)=0,"",IF(COUNTIF($AL$8:$AL$32,808)=1,INDEX(Res_Codigo,MATCH(808,$AL$8:$AL$32,0)),COUNTIF($AL$8:$AL$32,808)&amp;"×")))</f>
      </c>
      <c r="L29" s="225">
        <f>IF(OR(Var_N&lt;2,SUM(Res_Motricidad)=0),"",IF(COUNTIF($AL$8:$AL$32,908)=0,"",IF(COUNTIF($AL$8:$AL$32,908)=1,INDEX(Res_Codigo,MATCH(908,$AL$8:$AL$32,0)),COUNTIF($AL$8:$AL$32,908)&amp;"×")))</f>
      </c>
      <c r="M29" s="217">
        <f>IF(OR(Var_N&lt;2,SUM(Res_Motricidad)=0),"",IF(COUNTIF($AL$8:$AL$32,1008)=0,"",IF(COUNTIF($AL$8:$AL$32,1008)=1,INDEX(Res_Codigo,MATCH(1008,$AL$8:$AL$32,0)),COUNTIF($AL$8:$AL$32,1008)&amp;"×")))</f>
      </c>
      <c r="N29" s="217">
        <f>IF(OR(Var_N&lt;2,SUM(Res_Motricidad)=0),"",IF(COUNTIF($AL$8:$AL$32,1108)=0,"",IF(COUNTIF($AL$8:$AL$32,1108)=1,INDEX(Res_Codigo,MATCH(1108,$AL$8:$AL$32,0)),COUNTIF($AL$8:$AL$32,1108)&amp;"×")))</f>
      </c>
      <c r="O29" s="217">
        <f>IF(OR(Var_N&lt;2,SUM(Res_Motricidad)=0),"",IF(COUNTIF($AL$8:$AL$32,1208)=0,"",IF(COUNTIF($AL$8:$AL$32,1208)=1,INDEX(Res_Codigo,MATCH(1208,$AL$8:$AL$32,0)),COUNTIF($AL$8:$AL$32,1208)&amp;"×")))</f>
      </c>
      <c r="P29" s="217">
        <f>IF(OR(Var_N&lt;2,SUM(Res_Motricidad)=0),"",IF(COUNTIF($AL$8:$AL$32,1308)=0,"",IF(COUNTIF($AL$8:$AL$32,1308)=1,INDEX(Res_Codigo,MATCH(1308,$AL$8:$AL$32,0)),COUNTIF($AL$8:$AL$32,1308)&amp;"×")))</f>
      </c>
      <c r="Q29" s="217">
        <f>IF(OR(Var_N&lt;2,SUM(Res_Motricidad)=0),"",IF(COUNTIF($AL$8:$AL$32,1408)=0,"",IF(COUNTIF($AL$8:$AL$32,1408)=1,INDEX(Res_Codigo,MATCH(1408,$AL$8:$AL$32,0)),COUNTIF($AL$8:$AL$32,1408)&amp;"×")))</f>
      </c>
      <c r="R29" s="217">
        <f>IF(OR(Var_N&lt;2,SUM(Res_Motricidad)=0),"",IF(COUNTIF($AL$8:$AL$32,1508)=0,"",IF(COUNTIF($AL$8:$AL$32,1508)=1,INDEX(Res_Codigo,MATCH(1508,$AL$8:$AL$32,0)),COUNTIF($AL$8:$AL$32,1508)&amp;"×")))</f>
      </c>
      <c r="S29" s="217">
        <f>IF(OR(Var_N&lt;2,SUM(Res_Motricidad)=0),"",IF(COUNTIF($AL$8:$AL$32,1608)=0,"",IF(COUNTIF($AL$8:$AL$32,1608)=1,INDEX(Res_Codigo,MATCH(1608,$AL$8:$AL$32,0)),COUNTIF($AL$8:$AL$32,1608)&amp;"×")))</f>
      </c>
      <c r="T29" s="217">
        <f>IF(OR(Var_N&lt;2,SUM(Res_Motricidad)=0),"",IF(COUNTIF($AL$8:$AL$32,1708)=0,"",IF(COUNTIF($AL$8:$AL$32,1708)=1,INDEX(Res_Codigo,MATCH(1708,$AL$8:$AL$32,0)),COUNTIF($AL$8:$AL$32,1708)&amp;"×")))</f>
      </c>
      <c r="AJ29" s="191">
        <f>IF(22&gt;Var_N,"",COUNTIF(Res_Motricidad,"&gt;"&amp;INDEX(Res_Motricidad,22))+COUNTIF(OFFSET(Res_Motricidad,0,0,22,1),INDEX(Res_Motricidad,22)))</f>
      </c>
      <c r="AK29" s="191">
        <f>IF(22&gt;Var_N,"",COUNTIF(Res_Dependencia,"&gt;"&amp;INDEX(Res_Dependencia,22))+COUNTIF(OFFSET(Res_Dependencia,0,0,22,1),INDEX(Res_Dependencia,22)))</f>
      </c>
      <c r="AL29" s="191">
        <f>IF(22&gt;Var_N,"",MAX(0,MIN(18-1,INT(INDEX(Res_Dependencia,22)/MAX(1,MAX(Res_Dependencia))*18)))*100+MAX(0,MIN(12-1,12-1-INT(INDEX(Res_Motricidad,22)/MAX(1,MAX(Res_Motricidad))*12))))</f>
      </c>
      <c r="AM29" s="191">
        <f>IF(22&gt;Var_N,"",COUNTIF(Ind_Motricidad,"&gt;"&amp;INDEX(Ind_Motricidad,22))+COUNTIF(OFFSET(Ind_Motricidad,0,0,22,1),INDEX(Ind_Motricidad,22)))</f>
      </c>
      <c r="AN29" s="191">
        <f>IF(22&gt;Var_N,0,IF(INDEX(Res_RangoMot,22)-INDEX(Ind_RangoMot,22)&gt;=2,1,0))</f>
      </c>
    </row>
    <row r="30" ht="15" customHeight="1">
      <c r="C30" s="220">
        <f>IF(OR(Var_N&lt;2,SUM(Res_Motricidad)=0),"",IF(COUNTIF($AL$8:$AL$32,9)=0,"",IF(COUNTIF($AL$8:$AL$32,9)=1,INDEX(Res_Codigo,MATCH(9,$AL$8:$AL$32,0)),COUNTIF($AL$8:$AL$32,9)&amp;"×")))</f>
      </c>
      <c r="D30" s="216">
        <f>IF(OR(Var_N&lt;2,SUM(Res_Motricidad)=0),"",IF(COUNTIF($AL$8:$AL$32,109)=0,"",IF(COUNTIF($AL$8:$AL$32,109)=1,INDEX(Res_Codigo,MATCH(109,$AL$8:$AL$32,0)),COUNTIF($AL$8:$AL$32,109)&amp;"×")))</f>
      </c>
      <c r="E30" s="216">
        <f>IF(OR(Var_N&lt;2,SUM(Res_Motricidad)=0),"",IF(COUNTIF($AL$8:$AL$32,209)=0,"",IF(COUNTIF($AL$8:$AL$32,209)=1,INDEX(Res_Codigo,MATCH(209,$AL$8:$AL$32,0)),COUNTIF($AL$8:$AL$32,209)&amp;"×")))</f>
      </c>
      <c r="F30" s="216">
        <f>IF(OR(Var_N&lt;2,SUM(Res_Motricidad)=0),"",IF(COUNTIF($AL$8:$AL$32,309)=0,"",IF(COUNTIF($AL$8:$AL$32,309)=1,INDEX(Res_Codigo,MATCH(309,$AL$8:$AL$32,0)),COUNTIF($AL$8:$AL$32,309)&amp;"×")))</f>
      </c>
      <c r="G30" s="216">
        <f>IF(OR(Var_N&lt;2,SUM(Res_Motricidad)=0),"",IF(COUNTIF($AL$8:$AL$32,409)=0,"",IF(COUNTIF($AL$8:$AL$32,409)=1,INDEX(Res_Codigo,MATCH(409,$AL$8:$AL$32,0)),COUNTIF($AL$8:$AL$32,409)&amp;"×")))</f>
      </c>
      <c r="H30" s="216">
        <f>IF(OR(Var_N&lt;2,SUM(Res_Motricidad)=0),"",IF(COUNTIF($AL$8:$AL$32,509)=0,"",IF(COUNTIF($AL$8:$AL$32,509)=1,INDEX(Res_Codigo,MATCH(509,$AL$8:$AL$32,0)),COUNTIF($AL$8:$AL$32,509)&amp;"×")))</f>
      </c>
      <c r="I30" s="216">
        <f>IF(OR(Var_N&lt;2,SUM(Res_Motricidad)=0),"",IF(COUNTIF($AL$8:$AL$32,609)=0,"",IF(COUNTIF($AL$8:$AL$32,609)=1,INDEX(Res_Codigo,MATCH(609,$AL$8:$AL$32,0)),COUNTIF($AL$8:$AL$32,609)&amp;"×")))</f>
      </c>
      <c r="J30" s="216">
        <f>IF(OR(Var_N&lt;2,SUM(Res_Motricidad)=0),"",IF(COUNTIF($AL$8:$AL$32,709)=0,"",IF(COUNTIF($AL$8:$AL$32,709)=1,INDEX(Res_Codigo,MATCH(709,$AL$8:$AL$32,0)),COUNTIF($AL$8:$AL$32,709)&amp;"×")))</f>
      </c>
      <c r="K30" s="216">
        <f>IF(OR(Var_N&lt;2,SUM(Res_Motricidad)=0),"",IF(COUNTIF($AL$8:$AL$32,809)=0,"",IF(COUNTIF($AL$8:$AL$32,809)=1,INDEX(Res_Codigo,MATCH(809,$AL$8:$AL$32,0)),COUNTIF($AL$8:$AL$32,809)&amp;"×")))</f>
      </c>
      <c r="L30" s="225">
        <f>IF(OR(Var_N&lt;2,SUM(Res_Motricidad)=0),"",IF(COUNTIF($AL$8:$AL$32,909)=0,"",IF(COUNTIF($AL$8:$AL$32,909)=1,INDEX(Res_Codigo,MATCH(909,$AL$8:$AL$32,0)),COUNTIF($AL$8:$AL$32,909)&amp;"×")))</f>
      </c>
      <c r="M30" s="217">
        <f>IF(OR(Var_N&lt;2,SUM(Res_Motricidad)=0),"",IF(COUNTIF($AL$8:$AL$32,1009)=0,"",IF(COUNTIF($AL$8:$AL$32,1009)=1,INDEX(Res_Codigo,MATCH(1009,$AL$8:$AL$32,0)),COUNTIF($AL$8:$AL$32,1009)&amp;"×")))</f>
      </c>
      <c r="N30" s="217">
        <f>IF(OR(Var_N&lt;2,SUM(Res_Motricidad)=0),"",IF(COUNTIF($AL$8:$AL$32,1109)=0,"",IF(COUNTIF($AL$8:$AL$32,1109)=1,INDEX(Res_Codigo,MATCH(1109,$AL$8:$AL$32,0)),COUNTIF($AL$8:$AL$32,1109)&amp;"×")))</f>
      </c>
      <c r="O30" s="217">
        <f>IF(OR(Var_N&lt;2,SUM(Res_Motricidad)=0),"",IF(COUNTIF($AL$8:$AL$32,1209)=0,"",IF(COUNTIF($AL$8:$AL$32,1209)=1,INDEX(Res_Codigo,MATCH(1209,$AL$8:$AL$32,0)),COUNTIF($AL$8:$AL$32,1209)&amp;"×")))</f>
      </c>
      <c r="P30" s="217">
        <f>IF(OR(Var_N&lt;2,SUM(Res_Motricidad)=0),"",IF(COUNTIF($AL$8:$AL$32,1309)=0,"",IF(COUNTIF($AL$8:$AL$32,1309)=1,INDEX(Res_Codigo,MATCH(1309,$AL$8:$AL$32,0)),COUNTIF($AL$8:$AL$32,1309)&amp;"×")))</f>
      </c>
      <c r="Q30" s="217">
        <f>IF(OR(Var_N&lt;2,SUM(Res_Motricidad)=0),"",IF(COUNTIF($AL$8:$AL$32,1409)=0,"",IF(COUNTIF($AL$8:$AL$32,1409)=1,INDEX(Res_Codigo,MATCH(1409,$AL$8:$AL$32,0)),COUNTIF($AL$8:$AL$32,1409)&amp;"×")))</f>
      </c>
      <c r="R30" s="217">
        <f>IF(OR(Var_N&lt;2,SUM(Res_Motricidad)=0),"",IF(COUNTIF($AL$8:$AL$32,1509)=0,"",IF(COUNTIF($AL$8:$AL$32,1509)=1,INDEX(Res_Codigo,MATCH(1509,$AL$8:$AL$32,0)),COUNTIF($AL$8:$AL$32,1509)&amp;"×")))</f>
      </c>
      <c r="S30" s="217">
        <f>IF(OR(Var_N&lt;2,SUM(Res_Motricidad)=0),"",IF(COUNTIF($AL$8:$AL$32,1609)=0,"",IF(COUNTIF($AL$8:$AL$32,1609)=1,INDEX(Res_Codigo,MATCH(1609,$AL$8:$AL$32,0)),COUNTIF($AL$8:$AL$32,1609)&amp;"×")))</f>
      </c>
      <c r="T30" s="217">
        <f>IF(OR(Var_N&lt;2,SUM(Res_Motricidad)=0),"",IF(COUNTIF($AL$8:$AL$32,1709)=0,"",IF(COUNTIF($AL$8:$AL$32,1709)=1,INDEX(Res_Codigo,MATCH(1709,$AL$8:$AL$32,0)),COUNTIF($AL$8:$AL$32,1709)&amp;"×")))</f>
      </c>
      <c r="AJ30" s="191">
        <f>IF(23&gt;Var_N,"",COUNTIF(Res_Motricidad,"&gt;"&amp;INDEX(Res_Motricidad,23))+COUNTIF(OFFSET(Res_Motricidad,0,0,23,1),INDEX(Res_Motricidad,23)))</f>
      </c>
      <c r="AK30" s="191">
        <f>IF(23&gt;Var_N,"",COUNTIF(Res_Dependencia,"&gt;"&amp;INDEX(Res_Dependencia,23))+COUNTIF(OFFSET(Res_Dependencia,0,0,23,1),INDEX(Res_Dependencia,23)))</f>
      </c>
      <c r="AL30" s="191">
        <f>IF(23&gt;Var_N,"",MAX(0,MIN(18-1,INT(INDEX(Res_Dependencia,23)/MAX(1,MAX(Res_Dependencia))*18)))*100+MAX(0,MIN(12-1,12-1-INT(INDEX(Res_Motricidad,23)/MAX(1,MAX(Res_Motricidad))*12))))</f>
      </c>
      <c r="AM30" s="191">
        <f>IF(23&gt;Var_N,"",COUNTIF(Ind_Motricidad,"&gt;"&amp;INDEX(Ind_Motricidad,23))+COUNTIF(OFFSET(Ind_Motricidad,0,0,23,1),INDEX(Ind_Motricidad,23)))</f>
      </c>
      <c r="AN30" s="191">
        <f>IF(23&gt;Var_N,0,IF(INDEX(Res_RangoMot,23)-INDEX(Ind_RangoMot,23)&gt;=2,1,0))</f>
      </c>
    </row>
    <row r="31" ht="15" customHeight="1">
      <c r="C31" s="220">
        <f>IF(OR(Var_N&lt;2,SUM(Res_Motricidad)=0),"",IF(COUNTIF($AL$8:$AL$32,10)=0,"",IF(COUNTIF($AL$8:$AL$32,10)=1,INDEX(Res_Codigo,MATCH(10,$AL$8:$AL$32,0)),COUNTIF($AL$8:$AL$32,10)&amp;"×")))</f>
      </c>
      <c r="D31" s="216">
        <f>IF(OR(Var_N&lt;2,SUM(Res_Motricidad)=0),"",IF(COUNTIF($AL$8:$AL$32,110)=0,"",IF(COUNTIF($AL$8:$AL$32,110)=1,INDEX(Res_Codigo,MATCH(110,$AL$8:$AL$32,0)),COUNTIF($AL$8:$AL$32,110)&amp;"×")))</f>
      </c>
      <c r="E31" s="216">
        <f>IF(OR(Var_N&lt;2,SUM(Res_Motricidad)=0),"",IF(COUNTIF($AL$8:$AL$32,210)=0,"",IF(COUNTIF($AL$8:$AL$32,210)=1,INDEX(Res_Codigo,MATCH(210,$AL$8:$AL$32,0)),COUNTIF($AL$8:$AL$32,210)&amp;"×")))</f>
      </c>
      <c r="F31" s="216">
        <f>IF(OR(Var_N&lt;2,SUM(Res_Motricidad)=0),"",IF(COUNTIF($AL$8:$AL$32,310)=0,"",IF(COUNTIF($AL$8:$AL$32,310)=1,INDEX(Res_Codigo,MATCH(310,$AL$8:$AL$32,0)),COUNTIF($AL$8:$AL$32,310)&amp;"×")))</f>
      </c>
      <c r="G31" s="216">
        <f>IF(OR(Var_N&lt;2,SUM(Res_Motricidad)=0),"",IF(COUNTIF($AL$8:$AL$32,410)=0,"",IF(COUNTIF($AL$8:$AL$32,410)=1,INDEX(Res_Codigo,MATCH(410,$AL$8:$AL$32,0)),COUNTIF($AL$8:$AL$32,410)&amp;"×")))</f>
      </c>
      <c r="H31" s="216">
        <f>IF(OR(Var_N&lt;2,SUM(Res_Motricidad)=0),"",IF(COUNTIF($AL$8:$AL$32,510)=0,"",IF(COUNTIF($AL$8:$AL$32,510)=1,INDEX(Res_Codigo,MATCH(510,$AL$8:$AL$32,0)),COUNTIF($AL$8:$AL$32,510)&amp;"×")))</f>
      </c>
      <c r="I31" s="216">
        <f>IF(OR(Var_N&lt;2,SUM(Res_Motricidad)=0),"",IF(COUNTIF($AL$8:$AL$32,610)=0,"",IF(COUNTIF($AL$8:$AL$32,610)=1,INDEX(Res_Codigo,MATCH(610,$AL$8:$AL$32,0)),COUNTIF($AL$8:$AL$32,610)&amp;"×")))</f>
      </c>
      <c r="J31" s="216">
        <f>IF(OR(Var_N&lt;2,SUM(Res_Motricidad)=0),"",IF(COUNTIF($AL$8:$AL$32,710)=0,"",IF(COUNTIF($AL$8:$AL$32,710)=1,INDEX(Res_Codigo,MATCH(710,$AL$8:$AL$32,0)),COUNTIF($AL$8:$AL$32,710)&amp;"×")))</f>
      </c>
      <c r="K31" s="216">
        <f>IF(OR(Var_N&lt;2,SUM(Res_Motricidad)=0),"",IF(COUNTIF($AL$8:$AL$32,810)=0,"",IF(COUNTIF($AL$8:$AL$32,810)=1,INDEX(Res_Codigo,MATCH(810,$AL$8:$AL$32,0)),COUNTIF($AL$8:$AL$32,810)&amp;"×")))</f>
      </c>
      <c r="L31" s="225">
        <f>IF(OR(Var_N&lt;2,SUM(Res_Motricidad)=0),"",IF(COUNTIF($AL$8:$AL$32,910)=0,"",IF(COUNTIF($AL$8:$AL$32,910)=1,INDEX(Res_Codigo,MATCH(910,$AL$8:$AL$32,0)),COUNTIF($AL$8:$AL$32,910)&amp;"×")))</f>
      </c>
      <c r="M31" s="217">
        <f>IF(OR(Var_N&lt;2,SUM(Res_Motricidad)=0),"",IF(COUNTIF($AL$8:$AL$32,1010)=0,"",IF(COUNTIF($AL$8:$AL$32,1010)=1,INDEX(Res_Codigo,MATCH(1010,$AL$8:$AL$32,0)),COUNTIF($AL$8:$AL$32,1010)&amp;"×")))</f>
      </c>
      <c r="N31" s="217">
        <f>IF(OR(Var_N&lt;2,SUM(Res_Motricidad)=0),"",IF(COUNTIF($AL$8:$AL$32,1110)=0,"",IF(COUNTIF($AL$8:$AL$32,1110)=1,INDEX(Res_Codigo,MATCH(1110,$AL$8:$AL$32,0)),COUNTIF($AL$8:$AL$32,1110)&amp;"×")))</f>
      </c>
      <c r="O31" s="217">
        <f>IF(OR(Var_N&lt;2,SUM(Res_Motricidad)=0),"",IF(COUNTIF($AL$8:$AL$32,1210)=0,"",IF(COUNTIF($AL$8:$AL$32,1210)=1,INDEX(Res_Codigo,MATCH(1210,$AL$8:$AL$32,0)),COUNTIF($AL$8:$AL$32,1210)&amp;"×")))</f>
      </c>
      <c r="P31" s="217">
        <f>IF(OR(Var_N&lt;2,SUM(Res_Motricidad)=0),"",IF(COUNTIF($AL$8:$AL$32,1310)=0,"",IF(COUNTIF($AL$8:$AL$32,1310)=1,INDEX(Res_Codigo,MATCH(1310,$AL$8:$AL$32,0)),COUNTIF($AL$8:$AL$32,1310)&amp;"×")))</f>
      </c>
      <c r="Q31" s="217">
        <f>IF(OR(Var_N&lt;2,SUM(Res_Motricidad)=0),"",IF(COUNTIF($AL$8:$AL$32,1410)=0,"",IF(COUNTIF($AL$8:$AL$32,1410)=1,INDEX(Res_Codigo,MATCH(1410,$AL$8:$AL$32,0)),COUNTIF($AL$8:$AL$32,1410)&amp;"×")))</f>
      </c>
      <c r="R31" s="217">
        <f>IF(OR(Var_N&lt;2,SUM(Res_Motricidad)=0),"",IF(COUNTIF($AL$8:$AL$32,1510)=0,"",IF(COUNTIF($AL$8:$AL$32,1510)=1,INDEX(Res_Codigo,MATCH(1510,$AL$8:$AL$32,0)),COUNTIF($AL$8:$AL$32,1510)&amp;"×")))</f>
      </c>
      <c r="S31" s="217">
        <f>IF(OR(Var_N&lt;2,SUM(Res_Motricidad)=0),"",IF(COUNTIF($AL$8:$AL$32,1610)=0,"",IF(COUNTIF($AL$8:$AL$32,1610)=1,INDEX(Res_Codigo,MATCH(1610,$AL$8:$AL$32,0)),COUNTIF($AL$8:$AL$32,1610)&amp;"×")))</f>
      </c>
      <c r="T31" s="217">
        <f>IF(OR(Var_N&lt;2,SUM(Res_Motricidad)=0),"",IF(COUNTIF($AL$8:$AL$32,1710)=0,"",IF(COUNTIF($AL$8:$AL$32,1710)=1,INDEX(Res_Codigo,MATCH(1710,$AL$8:$AL$32,0)),COUNTIF($AL$8:$AL$32,1710)&amp;"×")))</f>
      </c>
      <c r="AJ31" s="191">
        <f>IF(24&gt;Var_N,"",COUNTIF(Res_Motricidad,"&gt;"&amp;INDEX(Res_Motricidad,24))+COUNTIF(OFFSET(Res_Motricidad,0,0,24,1),INDEX(Res_Motricidad,24)))</f>
      </c>
      <c r="AK31" s="191">
        <f>IF(24&gt;Var_N,"",COUNTIF(Res_Dependencia,"&gt;"&amp;INDEX(Res_Dependencia,24))+COUNTIF(OFFSET(Res_Dependencia,0,0,24,1),INDEX(Res_Dependencia,24)))</f>
      </c>
      <c r="AL31" s="191">
        <f>IF(24&gt;Var_N,"",MAX(0,MIN(18-1,INT(INDEX(Res_Dependencia,24)/MAX(1,MAX(Res_Dependencia))*18)))*100+MAX(0,MIN(12-1,12-1-INT(INDEX(Res_Motricidad,24)/MAX(1,MAX(Res_Motricidad))*12))))</f>
      </c>
      <c r="AM31" s="191">
        <f>IF(24&gt;Var_N,"",COUNTIF(Ind_Motricidad,"&gt;"&amp;INDEX(Ind_Motricidad,24))+COUNTIF(OFFSET(Ind_Motricidad,0,0,24,1),INDEX(Ind_Motricidad,24)))</f>
      </c>
      <c r="AN31" s="191">
        <f>IF(24&gt;Var_N,0,IF(INDEX(Res_RangoMot,24)-INDEX(Ind_RangoMot,24)&gt;=2,1,0))</f>
      </c>
    </row>
    <row r="32" ht="15" customHeight="1">
      <c r="C32" s="223">
        <f>IF(OR(Var_N&lt;2,SUM(Res_Motricidad)=0),"",IF(COUNTIF($AL$8:$AL$32,11)=0,"",IF(COUNTIF($AL$8:$AL$32,11)=1,INDEX(Res_Codigo,MATCH(11,$AL$8:$AL$32,0)),COUNTIF($AL$8:$AL$32,11)&amp;"×")))</f>
      </c>
      <c r="D32" s="221">
        <f>IF(OR(Var_N&lt;2,SUM(Res_Motricidad)=0),"",IF(COUNTIF($AL$8:$AL$32,111)=0,"",IF(COUNTIF($AL$8:$AL$32,111)=1,INDEX(Res_Codigo,MATCH(111,$AL$8:$AL$32,0)),COUNTIF($AL$8:$AL$32,111)&amp;"×")))</f>
      </c>
      <c r="E32" s="221">
        <f>IF(OR(Var_N&lt;2,SUM(Res_Motricidad)=0),"",IF(COUNTIF($AL$8:$AL$32,211)=0,"",IF(COUNTIF($AL$8:$AL$32,211)=1,INDEX(Res_Codigo,MATCH(211,$AL$8:$AL$32,0)),COUNTIF($AL$8:$AL$32,211)&amp;"×")))</f>
      </c>
      <c r="F32" s="221">
        <f>IF(OR(Var_N&lt;2,SUM(Res_Motricidad)=0),"",IF(COUNTIF($AL$8:$AL$32,311)=0,"",IF(COUNTIF($AL$8:$AL$32,311)=1,INDEX(Res_Codigo,MATCH(311,$AL$8:$AL$32,0)),COUNTIF($AL$8:$AL$32,311)&amp;"×")))</f>
      </c>
      <c r="G32" s="221">
        <f>IF(OR(Var_N&lt;2,SUM(Res_Motricidad)=0),"",IF(COUNTIF($AL$8:$AL$32,411)=0,"",IF(COUNTIF($AL$8:$AL$32,411)=1,INDEX(Res_Codigo,MATCH(411,$AL$8:$AL$32,0)),COUNTIF($AL$8:$AL$32,411)&amp;"×")))</f>
      </c>
      <c r="H32" s="221">
        <f>IF(OR(Var_N&lt;2,SUM(Res_Motricidad)=0),"",IF(COUNTIF($AL$8:$AL$32,511)=0,"",IF(COUNTIF($AL$8:$AL$32,511)=1,INDEX(Res_Codigo,MATCH(511,$AL$8:$AL$32,0)),COUNTIF($AL$8:$AL$32,511)&amp;"×")))</f>
      </c>
      <c r="I32" s="221">
        <f>IF(OR(Var_N&lt;2,SUM(Res_Motricidad)=0),"",IF(COUNTIF($AL$8:$AL$32,611)=0,"",IF(COUNTIF($AL$8:$AL$32,611)=1,INDEX(Res_Codigo,MATCH(611,$AL$8:$AL$32,0)),COUNTIF($AL$8:$AL$32,611)&amp;"×")))</f>
      </c>
      <c r="J32" s="221">
        <f>IF(OR(Var_N&lt;2,SUM(Res_Motricidad)=0),"",IF(COUNTIF($AL$8:$AL$32,711)=0,"",IF(COUNTIF($AL$8:$AL$32,711)=1,INDEX(Res_Codigo,MATCH(711,$AL$8:$AL$32,0)),COUNTIF($AL$8:$AL$32,711)&amp;"×")))</f>
      </c>
      <c r="K32" s="221">
        <f>IF(OR(Var_N&lt;2,SUM(Res_Motricidad)=0),"",IF(COUNTIF($AL$8:$AL$32,811)=0,"",IF(COUNTIF($AL$8:$AL$32,811)=1,INDEX(Res_Codigo,MATCH(811,$AL$8:$AL$32,0)),COUNTIF($AL$8:$AL$32,811)&amp;"×")))</f>
      </c>
      <c r="L32" s="222">
        <f>IF(OR(Var_N&lt;2,SUM(Res_Motricidad)=0),"",IF(COUNTIF($AL$8:$AL$32,911)=0,"",IF(COUNTIF($AL$8:$AL$32,911)=1,INDEX(Res_Codigo,MATCH(911,$AL$8:$AL$32,0)),COUNTIF($AL$8:$AL$32,911)&amp;"×")))</f>
      </c>
      <c r="M32" s="222">
        <f>IF(OR(Var_N&lt;2,SUM(Res_Motricidad)=0),"",IF(COUNTIF($AL$8:$AL$32,1011)=0,"",IF(COUNTIF($AL$8:$AL$32,1011)=1,INDEX(Res_Codigo,MATCH(1011,$AL$8:$AL$32,0)),COUNTIF($AL$8:$AL$32,1011)&amp;"×")))</f>
      </c>
      <c r="N32" s="222">
        <f>IF(OR(Var_N&lt;2,SUM(Res_Motricidad)=0),"",IF(COUNTIF($AL$8:$AL$32,1111)=0,"",IF(COUNTIF($AL$8:$AL$32,1111)=1,INDEX(Res_Codigo,MATCH(1111,$AL$8:$AL$32,0)),COUNTIF($AL$8:$AL$32,1111)&amp;"×")))</f>
      </c>
      <c r="O32" s="222">
        <f>IF(OR(Var_N&lt;2,SUM(Res_Motricidad)=0),"",IF(COUNTIF($AL$8:$AL$32,1211)=0,"",IF(COUNTIF($AL$8:$AL$32,1211)=1,INDEX(Res_Codigo,MATCH(1211,$AL$8:$AL$32,0)),COUNTIF($AL$8:$AL$32,1211)&amp;"×")))</f>
      </c>
      <c r="P32" s="222">
        <f>IF(OR(Var_N&lt;2,SUM(Res_Motricidad)=0),"",IF(COUNTIF($AL$8:$AL$32,1311)=0,"",IF(COUNTIF($AL$8:$AL$32,1311)=1,INDEX(Res_Codigo,MATCH(1311,$AL$8:$AL$32,0)),COUNTIF($AL$8:$AL$32,1311)&amp;"×")))</f>
      </c>
      <c r="Q32" s="222">
        <f>IF(OR(Var_N&lt;2,SUM(Res_Motricidad)=0),"",IF(COUNTIF($AL$8:$AL$32,1411)=0,"",IF(COUNTIF($AL$8:$AL$32,1411)=1,INDEX(Res_Codigo,MATCH(1411,$AL$8:$AL$32,0)),COUNTIF($AL$8:$AL$32,1411)&amp;"×")))</f>
      </c>
      <c r="R32" s="222">
        <f>IF(OR(Var_N&lt;2,SUM(Res_Motricidad)=0),"",IF(COUNTIF($AL$8:$AL$32,1511)=0,"",IF(COUNTIF($AL$8:$AL$32,1511)=1,INDEX(Res_Codigo,MATCH(1511,$AL$8:$AL$32,0)),COUNTIF($AL$8:$AL$32,1511)&amp;"×")))</f>
      </c>
      <c r="S32" s="222">
        <f>IF(OR(Var_N&lt;2,SUM(Res_Motricidad)=0),"",IF(COUNTIF($AL$8:$AL$32,1611)=0,"",IF(COUNTIF($AL$8:$AL$32,1611)=1,INDEX(Res_Codigo,MATCH(1611,$AL$8:$AL$32,0)),COUNTIF($AL$8:$AL$32,1611)&amp;"×")))</f>
      </c>
      <c r="T32" s="222">
        <f>IF(OR(Var_N&lt;2,SUM(Res_Motricidad)=0),"",IF(COUNTIF($AL$8:$AL$32,1711)=0,"",IF(COUNTIF($AL$8:$AL$32,1711)=1,INDEX(Res_Codigo,MATCH(1711,$AL$8:$AL$32,0)),COUNTIF($AL$8:$AL$32,1711)&amp;"×")))</f>
      </c>
      <c r="AJ32" s="191">
        <f>IF(25&gt;Var_N,"",COUNTIF(Res_Motricidad,"&gt;"&amp;INDEX(Res_Motricidad,25))+COUNTIF(OFFSET(Res_Motricidad,0,0,25,1),INDEX(Res_Motricidad,25)))</f>
      </c>
      <c r="AK32" s="191">
        <f>IF(25&gt;Var_N,"",COUNTIF(Res_Dependencia,"&gt;"&amp;INDEX(Res_Dependencia,25))+COUNTIF(OFFSET(Res_Dependencia,0,0,25,1),INDEX(Res_Dependencia,25)))</f>
      </c>
      <c r="AL32" s="191">
        <f>IF(25&gt;Var_N,"",MAX(0,MIN(18-1,INT(INDEX(Res_Dependencia,25)/MAX(1,MAX(Res_Dependencia))*18)))*100+MAX(0,MIN(12-1,12-1-INT(INDEX(Res_Motricidad,25)/MAX(1,MAX(Res_Motricidad))*12))))</f>
      </c>
      <c r="AM32" s="191">
        <f>IF(25&gt;Var_N,"",COUNTIF(Ind_Motricidad,"&gt;"&amp;INDEX(Ind_Motricidad,25))+COUNTIF(OFFSET(Ind_Motricidad,0,0,25,1),INDEX(Ind_Motricidad,25)))</f>
      </c>
      <c r="AN32" s="191">
        <f>IF(25&gt;Var_N,0,IF(INDEX(Res_RangoMot,25)-INDEX(Ind_RangoMot,25)&gt;=2,1,0))</f>
      </c>
    </row>
    <row r="33" ht="18" customHeight="1">
      <c r="C33" s="228" t="inlineStr">
        <is>
          <t xml:space="preserve">AUTÓNOMOS</t>
        </is>
      </c>
      <c r="L33" s="228" t="inlineStr">
        <is>
          <t xml:space="preserve">RESULTADO</t>
        </is>
      </c>
      <c r="R33" s="229" t="inlineStr">
        <is>
          <t xml:space="preserve">es influido →</t>
        </is>
      </c>
    </row>
    <row r="34" ht="20" customHeight="1">
      <c r="B34" s="199" t="inlineStr">
        <is>
          <t xml:space="preserve">Cómo se lee: cuanto más arriba, más influye; cuanto más a la derecha, más depende. La marca «2×» indica dos factores en la misma posición.</t>
        </is>
      </c>
    </row>
    <row r="35">
      <c r="B35" s="192" t="inlineStr">
        <is>
          <t xml:space="preserve">QUÉ SIGNIFICA CADA ZONA</t>
        </is>
      </c>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row>
    <row r="36" ht="24" customHeight="1">
      <c r="B36" s="200" t="inlineStr">
        <is>
          <t xml:space="preserve">Motrices · entrada</t>
        </is>
      </c>
      <c r="H36" s="202">
        <f>IF(Var_N&lt;2,"",COUNTIF(Res_Tipologia,"1 · Entrada / determinante"))</f>
      </c>
      <c r="J36" s="203" t="inlineStr">
        <is>
          <t xml:space="preserve">Influencia alta y dependencia baja. Suelen ser los factores sobre los que conviene actuar antes.</t>
        </is>
      </c>
    </row>
    <row r="37" ht="24" customHeight="1">
      <c r="B37" s="200" t="inlineStr">
        <is>
          <t xml:space="preserve">Clave · enlace</t>
        </is>
      </c>
      <c r="H37" s="202">
        <f>IF(Var_N&lt;2,"",COUNTIF(Res_Tipologia,"2 · Intermedia / de enlace"))</f>
      </c>
      <c r="J37" s="203" t="inlineStr">
        <is>
          <t xml:space="preserve">Alta influencia y alta dependencia. Inestables: todo cambio se propaga.</t>
        </is>
      </c>
    </row>
    <row r="38" ht="24" customHeight="1">
      <c r="B38" s="200" t="inlineStr">
        <is>
          <t xml:space="preserve">Resultado</t>
        </is>
      </c>
      <c r="H38" s="202">
        <f>IF(Var_N&lt;2,"",COUNTIF(Res_Tipologia,"3 · Resultado"))</f>
      </c>
      <c r="J38" s="203" t="inlineStr">
        <is>
          <t xml:space="preserve">Dependencia alta e influencia baja. Su comportamiento aparece condicionado por el resto del sistema.</t>
        </is>
      </c>
    </row>
    <row r="39" ht="24" customHeight="1">
      <c r="B39" s="200" t="inlineStr">
        <is>
          <t xml:space="preserve">Autónomos · excluidos</t>
        </is>
      </c>
      <c r="H39" s="202">
        <f>IF(Var_N&lt;2,"",COUNTIF(Res_Tipologia,"4 · Excluida / autónoma"))</f>
      </c>
      <c r="J39" s="203" t="inlineStr">
        <is>
          <t xml:space="preserve">Fuera de la dinámica. Ni influyen ni son influidos de forma apreciable.</t>
        </is>
      </c>
    </row>
    <row r="40" ht="24" customHeight="1">
      <c r="B40" s="200" t="inlineStr">
        <is>
          <t xml:space="preserve">Pelotón</t>
        </is>
      </c>
      <c r="H40" s="202">
        <f>IF(Var_N&lt;2,"",COUNTIF(Res_Tipologia,"5 · Pelotón (no concluyente)"))</f>
      </c>
      <c r="J40" s="203" t="inlineStr">
        <is>
          <t xml:space="preserve">No concluyente. El método no permite afirmar su papel.</t>
        </is>
      </c>
    </row>
    <row r="41" ht="20" customHeight="1">
      <c r="B41" s="199" t="inlineStr">
        <is>
          <t xml:space="preserve">El más influyente y el más dependiente marcan los dos extremos del sistema: dónde conviene intervenir y qué se limita a reflejar lo que ocurre.</t>
        </is>
      </c>
    </row>
    <row r="42" ht="20" customHeight="1">
      <c r="B42" s="192" t="inlineStr">
        <is>
          <t xml:space="preserve">LOS QUE MÁS INFLUYEN Y LOS QUE MÁS DEPENDEN</t>
        </is>
      </c>
      <c r="C42" s="192"/>
      <c r="D42" s="192"/>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row>
    <row r="43" ht="20" customHeight="1">
      <c r="B43" s="193" t="inlineStr">
        <is>
          <t xml:space="preserve">MÁS INFLUYENTES</t>
        </is>
      </c>
      <c r="Q43" s="193" t="inlineStr">
        <is>
          <t xml:space="preserve">MÁS DEPENDIENTES</t>
        </is>
      </c>
    </row>
    <row r="44" ht="20" customHeight="1">
      <c r="B44" s="202">
        <f>IF(1&gt;Var_N,"",1)</f>
      </c>
      <c r="C44" s="201">
        <f>IFERROR(INDEX(Res_Nombre,MATCH(1,$AJ$8:$AJ$32,0)),"")</f>
      </c>
      <c r="M44" s="202">
        <f>IFERROR(INDEX(Res_Motricidad,MATCH(1,$AJ$8:$AJ$32,0)),"")</f>
      </c>
      <c r="Q44" s="202">
        <f>IF(1&gt;Var_N,"",1)</f>
      </c>
      <c r="R44" s="201">
        <f>IFERROR(INDEX(Res_Nombre,MATCH(1,$AK$8:$AK$32,0)),"")</f>
      </c>
      <c r="AB44" s="202">
        <f>IFERROR(INDEX(Res_Dependencia,MATCH(1,$AK$8:$AK$32,0)),"")</f>
      </c>
    </row>
    <row r="45" ht="20" customHeight="1">
      <c r="B45" s="202">
        <f>IF(2&gt;Var_N,"",2)</f>
      </c>
      <c r="C45" s="201">
        <f>IFERROR(INDEX(Res_Nombre,MATCH(2,$AJ$8:$AJ$32,0)),"")</f>
      </c>
      <c r="M45" s="202">
        <f>IFERROR(INDEX(Res_Motricidad,MATCH(2,$AJ$8:$AJ$32,0)),"")</f>
      </c>
      <c r="Q45" s="202">
        <f>IF(2&gt;Var_N,"",2)</f>
      </c>
      <c r="R45" s="201">
        <f>IFERROR(INDEX(Res_Nombre,MATCH(2,$AK$8:$AK$32,0)),"")</f>
      </c>
      <c r="AB45" s="202">
        <f>IFERROR(INDEX(Res_Dependencia,MATCH(2,$AK$8:$AK$32,0)),"")</f>
      </c>
    </row>
    <row r="46" ht="20" customHeight="1">
      <c r="B46" s="202">
        <f>IF(3&gt;Var_N,"",3)</f>
      </c>
      <c r="C46" s="201">
        <f>IFERROR(INDEX(Res_Nombre,MATCH(3,$AJ$8:$AJ$32,0)),"")</f>
      </c>
      <c r="M46" s="202">
        <f>IFERROR(INDEX(Res_Motricidad,MATCH(3,$AJ$8:$AJ$32,0)),"")</f>
      </c>
      <c r="Q46" s="202">
        <f>IF(3&gt;Var_N,"",3)</f>
      </c>
      <c r="R46" s="201">
        <f>IFERROR(INDEX(Res_Nombre,MATCH(3,$AK$8:$AK$32,0)),"")</f>
      </c>
      <c r="AB46" s="202">
        <f>IFERROR(INDEX(Res_Dependencia,MATCH(3,$AK$8:$AK$32,0)),"")</f>
      </c>
    </row>
    <row r="47" ht="20" customHeight="1">
      <c r="B47" s="202">
        <f>IF(4&gt;Var_N,"",4)</f>
      </c>
      <c r="C47" s="201">
        <f>IFERROR(INDEX(Res_Nombre,MATCH(4,$AJ$8:$AJ$32,0)),"")</f>
      </c>
      <c r="M47" s="202">
        <f>IFERROR(INDEX(Res_Motricidad,MATCH(4,$AJ$8:$AJ$32,0)),"")</f>
      </c>
      <c r="Q47" s="202">
        <f>IF(4&gt;Var_N,"",4)</f>
      </c>
      <c r="R47" s="201">
        <f>IFERROR(INDEX(Res_Nombre,MATCH(4,$AK$8:$AK$32,0)),"")</f>
      </c>
      <c r="AB47" s="202">
        <f>IFERROR(INDEX(Res_Dependencia,MATCH(4,$AK$8:$AK$32,0)),"")</f>
      </c>
    </row>
    <row r="48" ht="20" customHeight="1">
      <c r="B48" s="202">
        <f>IF(5&gt;Var_N,"",5)</f>
      </c>
      <c r="C48" s="201">
        <f>IFERROR(INDEX(Res_Nombre,MATCH(5,$AJ$8:$AJ$32,0)),"")</f>
      </c>
      <c r="M48" s="202">
        <f>IFERROR(INDEX(Res_Motricidad,MATCH(5,$AJ$8:$AJ$32,0)),"")</f>
      </c>
      <c r="Q48" s="202">
        <f>IF(5&gt;Var_N,"",5)</f>
      </c>
      <c r="R48" s="201">
        <f>IFERROR(INDEX(Res_Nombre,MATCH(5,$AK$8:$AK$32,0)),"")</f>
      </c>
      <c r="AB48" s="202">
        <f>IFERROR(INDEX(Res_Dependencia,MATCH(5,$AK$8:$AK$32,0)),"")</f>
      </c>
    </row>
    <row r="49" ht="20" customHeight="1">
      <c r="B49" s="202">
        <f>IF(6&gt;Var_N,"",6)</f>
      </c>
      <c r="C49" s="201">
        <f>IFERROR(INDEX(Res_Nombre,MATCH(6,$AJ$8:$AJ$32,0)),"")</f>
      </c>
      <c r="M49" s="202">
        <f>IFERROR(INDEX(Res_Motricidad,MATCH(6,$AJ$8:$AJ$32,0)),"")</f>
      </c>
      <c r="Q49" s="202">
        <f>IF(6&gt;Var_N,"",6)</f>
      </c>
      <c r="R49" s="201">
        <f>IFERROR(INDEX(Res_Nombre,MATCH(6,$AK$8:$AK$32,0)),"")</f>
      </c>
      <c r="AB49" s="202">
        <f>IFERROR(INDEX(Res_Dependencia,MATCH(6,$AK$8:$AK$32,0)),"")</f>
      </c>
    </row>
    <row r="50" ht="20" customHeight="1">
      <c r="B50" s="199" t="inlineStr">
        <is>
          <t xml:space="preserve">La influencia directa es la que declaró el panel. La indirecta aparece al encadenar relaciones: si A influye en B y B en C, A influye en C aunque nadie lo dijera.</t>
        </is>
      </c>
    </row>
    <row r="51" ht="20" customHeight="1">
      <c r="B51" s="192" t="inlineStr">
        <is>
          <t xml:space="preserve">LO QUE NO SE VEÍA A SIMPLE VISTA</t>
        </is>
      </c>
      <c r="C51" s="192"/>
      <c r="D51" s="192"/>
      <c r="E51" s="192"/>
      <c r="F51" s="192"/>
      <c r="G51" s="192"/>
      <c r="H51" s="192"/>
      <c r="I51" s="192"/>
      <c r="J51" s="192"/>
      <c r="K51" s="192"/>
      <c r="L51" s="192"/>
      <c r="M51" s="192"/>
      <c r="N51" s="192"/>
      <c r="O51" s="192"/>
      <c r="P51" s="192"/>
      <c r="Q51" s="192"/>
      <c r="R51" s="192"/>
      <c r="S51" s="192"/>
      <c r="T51" s="192"/>
      <c r="U51" s="192"/>
      <c r="V51" s="192"/>
      <c r="W51" s="192"/>
      <c r="X51" s="192"/>
      <c r="Y51" s="192"/>
      <c r="Z51" s="192"/>
      <c r="AA51" s="192"/>
      <c r="AB51" s="192"/>
      <c r="AC51" s="192"/>
      <c r="AD51" s="192"/>
      <c r="AE51" s="192"/>
    </row>
    <row r="52" ht="32" customHeight="1">
      <c r="B52" s="203">
        <f>IF(Var_N&lt;2,"",IF(SUM($AN$8:$AN$32)=0,"Ningún factor cambia de forma apreciable al encadenar las relaciones: lo que el panel declaró coincide con la influencia real.",SUM($AN$8:$AN$32)&amp;" factor(es) suben dos o más puestos al pasar de la influencia declarada a la real. Son los que el panel infravaloró."))</f>
      </c>
      <c r="C52" s="203"/>
      <c r="D52" s="203"/>
      <c r="E52" s="203"/>
      <c r="F52" s="203"/>
      <c r="G52" s="203"/>
      <c r="H52" s="203"/>
      <c r="I52" s="203"/>
      <c r="J52" s="203"/>
      <c r="K52" s="203"/>
      <c r="L52" s="203"/>
      <c r="M52" s="203"/>
      <c r="N52" s="203"/>
      <c r="O52" s="203"/>
      <c r="P52" s="203"/>
      <c r="Q52" s="203"/>
      <c r="R52" s="203"/>
      <c r="S52" s="203"/>
      <c r="T52" s="203"/>
      <c r="U52" s="203"/>
      <c r="V52" s="203"/>
      <c r="W52" s="203"/>
      <c r="X52" s="203"/>
      <c r="Y52" s="203"/>
      <c r="Z52" s="203"/>
      <c r="AA52" s="203"/>
      <c r="AB52" s="203"/>
      <c r="AC52" s="203"/>
      <c r="AD52" s="203"/>
      <c r="AE52" s="203"/>
    </row>
    <row r="53" ht="20" customHeight="1">
      <c r="B53" s="193" t="inlineStr">
        <is>
          <t xml:space="preserve">FACTOR</t>
        </is>
      </c>
      <c r="N53" s="194" t="inlineStr">
        <is>
          <t xml:space="preserve">DECLARADO</t>
        </is>
      </c>
      <c r="Q53" s="194" t="inlineStr">
        <is>
          <t xml:space="preserve">REAL</t>
        </is>
      </c>
      <c r="T53" s="193" t="inlineStr">
        <is>
          <t xml:space="preserve">LECTURA</t>
        </is>
      </c>
    </row>
    <row r="54" ht="17" customHeight="1">
      <c r="B54" s="201">
        <f>IF(ROW()-53&gt;Var_N,"",INDEX(Res_Codigo,ROW()-53)&amp;"  "&amp;INDEX(Res_Nombre,ROW()-53))</f>
      </c>
      <c r="N54" s="202">
        <f>IF(ROW()-53&gt;Var_N,"",INDEX(Res_RangoMot,ROW()-53))</f>
      </c>
      <c r="Q54" s="202">
        <f>IF(ROW()-53&gt;Var_N,"",INDEX(Ind_RangoMot,ROW()-53))</f>
      </c>
      <c r="T54" s="203">
        <f>IF(ROW()-53&gt;Var_N,"",IF(INDEX(Res_RangoMot,ROW()-53)-INDEX(Ind_RangoMot,ROW()-53)&gt;=2,"Influye más de lo que el panel declaró",IF(INDEX(Ind_RangoMot,ROW()-53)-INDEX(Res_RangoMot,ROW()-53)&gt;=2,"Influye menos de lo que parecía","")))</f>
      </c>
    </row>
    <row r="55" ht="17" customHeight="1">
      <c r="B55" s="201">
        <f>IF(ROW()-53&gt;Var_N,"",INDEX(Res_Codigo,ROW()-53)&amp;"  "&amp;INDEX(Res_Nombre,ROW()-53))</f>
      </c>
      <c r="N55" s="202">
        <f>IF(ROW()-53&gt;Var_N,"",INDEX(Res_RangoMot,ROW()-53))</f>
      </c>
      <c r="Q55" s="202">
        <f>IF(ROW()-53&gt;Var_N,"",INDEX(Ind_RangoMot,ROW()-53))</f>
      </c>
      <c r="T55" s="203">
        <f>IF(ROW()-53&gt;Var_N,"",IF(INDEX(Res_RangoMot,ROW()-53)-INDEX(Ind_RangoMot,ROW()-53)&gt;=2,"Influye más de lo que el panel declaró",IF(INDEX(Ind_RangoMot,ROW()-53)-INDEX(Res_RangoMot,ROW()-53)&gt;=2,"Influye menos de lo que parecía","")))</f>
      </c>
    </row>
    <row r="56" ht="17" customHeight="1">
      <c r="B56" s="201">
        <f>IF(ROW()-53&gt;Var_N,"",INDEX(Res_Codigo,ROW()-53)&amp;"  "&amp;INDEX(Res_Nombre,ROW()-53))</f>
      </c>
      <c r="N56" s="202">
        <f>IF(ROW()-53&gt;Var_N,"",INDEX(Res_RangoMot,ROW()-53))</f>
      </c>
      <c r="Q56" s="202">
        <f>IF(ROW()-53&gt;Var_N,"",INDEX(Ind_RangoMot,ROW()-53))</f>
      </c>
      <c r="T56" s="203">
        <f>IF(ROW()-53&gt;Var_N,"",IF(INDEX(Res_RangoMot,ROW()-53)-INDEX(Ind_RangoMot,ROW()-53)&gt;=2,"Influye más de lo que el panel declaró",IF(INDEX(Ind_RangoMot,ROW()-53)-INDEX(Res_RangoMot,ROW()-53)&gt;=2,"Influye menos de lo que parecía","")))</f>
      </c>
    </row>
    <row r="57" ht="17" customHeight="1">
      <c r="B57" s="201">
        <f>IF(ROW()-53&gt;Var_N,"",INDEX(Res_Codigo,ROW()-53)&amp;"  "&amp;INDEX(Res_Nombre,ROW()-53))</f>
      </c>
      <c r="N57" s="202">
        <f>IF(ROW()-53&gt;Var_N,"",INDEX(Res_RangoMot,ROW()-53))</f>
      </c>
      <c r="Q57" s="202">
        <f>IF(ROW()-53&gt;Var_N,"",INDEX(Ind_RangoMot,ROW()-53))</f>
      </c>
      <c r="T57" s="203">
        <f>IF(ROW()-53&gt;Var_N,"",IF(INDEX(Res_RangoMot,ROW()-53)-INDEX(Ind_RangoMot,ROW()-53)&gt;=2,"Influye más de lo que el panel declaró",IF(INDEX(Ind_RangoMot,ROW()-53)-INDEX(Res_RangoMot,ROW()-53)&gt;=2,"Influye menos de lo que parecía","")))</f>
      </c>
    </row>
    <row r="58" ht="17" customHeight="1">
      <c r="B58" s="201">
        <f>IF(ROW()-53&gt;Var_N,"",INDEX(Res_Codigo,ROW()-53)&amp;"  "&amp;INDEX(Res_Nombre,ROW()-53))</f>
      </c>
      <c r="N58" s="202">
        <f>IF(ROW()-53&gt;Var_N,"",INDEX(Res_RangoMot,ROW()-53))</f>
      </c>
      <c r="Q58" s="202">
        <f>IF(ROW()-53&gt;Var_N,"",INDEX(Ind_RangoMot,ROW()-53))</f>
      </c>
      <c r="T58" s="203">
        <f>IF(ROW()-53&gt;Var_N,"",IF(INDEX(Res_RangoMot,ROW()-53)-INDEX(Ind_RangoMot,ROW()-53)&gt;=2,"Influye más de lo que el panel declaró",IF(INDEX(Ind_RangoMot,ROW()-53)-INDEX(Res_RangoMot,ROW()-53)&gt;=2,"Influye menos de lo que parecía","")))</f>
      </c>
    </row>
    <row r="59" ht="17" customHeight="1">
      <c r="B59" s="201">
        <f>IF(ROW()-53&gt;Var_N,"",INDEX(Res_Codigo,ROW()-53)&amp;"  "&amp;INDEX(Res_Nombre,ROW()-53))</f>
      </c>
      <c r="N59" s="202">
        <f>IF(ROW()-53&gt;Var_N,"",INDEX(Res_RangoMot,ROW()-53))</f>
      </c>
      <c r="Q59" s="202">
        <f>IF(ROW()-53&gt;Var_N,"",INDEX(Ind_RangoMot,ROW()-53))</f>
      </c>
      <c r="T59" s="203">
        <f>IF(ROW()-53&gt;Var_N,"",IF(INDEX(Res_RangoMot,ROW()-53)-INDEX(Ind_RangoMot,ROW()-53)&gt;=2,"Influye más de lo que el panel declaró",IF(INDEX(Ind_RangoMot,ROW()-53)-INDEX(Res_RangoMot,ROW()-53)&gt;=2,"Influye menos de lo que parecía","")))</f>
      </c>
    </row>
    <row r="60" ht="17" customHeight="1">
      <c r="B60" s="201">
        <f>IF(ROW()-53&gt;Var_N,"",INDEX(Res_Codigo,ROW()-53)&amp;"  "&amp;INDEX(Res_Nombre,ROW()-53))</f>
      </c>
      <c r="N60" s="202">
        <f>IF(ROW()-53&gt;Var_N,"",INDEX(Res_RangoMot,ROW()-53))</f>
      </c>
      <c r="Q60" s="202">
        <f>IF(ROW()-53&gt;Var_N,"",INDEX(Ind_RangoMot,ROW()-53))</f>
      </c>
      <c r="T60" s="203">
        <f>IF(ROW()-53&gt;Var_N,"",IF(INDEX(Res_RangoMot,ROW()-53)-INDEX(Ind_RangoMot,ROW()-53)&gt;=2,"Influye más de lo que el panel declaró",IF(INDEX(Ind_RangoMot,ROW()-53)-INDEX(Res_RangoMot,ROW()-53)&gt;=2,"Influye menos de lo que parecía","")))</f>
      </c>
    </row>
    <row r="61" ht="17" customHeight="1">
      <c r="B61" s="201">
        <f>IF(ROW()-53&gt;Var_N,"",INDEX(Res_Codigo,ROW()-53)&amp;"  "&amp;INDEX(Res_Nombre,ROW()-53))</f>
      </c>
      <c r="N61" s="202">
        <f>IF(ROW()-53&gt;Var_N,"",INDEX(Res_RangoMot,ROW()-53))</f>
      </c>
      <c r="Q61" s="202">
        <f>IF(ROW()-53&gt;Var_N,"",INDEX(Ind_RangoMot,ROW()-53))</f>
      </c>
      <c r="T61" s="203">
        <f>IF(ROW()-53&gt;Var_N,"",IF(INDEX(Res_RangoMot,ROW()-53)-INDEX(Ind_RangoMot,ROW()-53)&gt;=2,"Influye más de lo que el panel declaró",IF(INDEX(Ind_RangoMot,ROW()-53)-INDEX(Res_RangoMot,ROW()-53)&gt;=2,"Influye menos de lo que parecía","")))</f>
      </c>
    </row>
    <row r="62" ht="17" customHeight="1">
      <c r="B62" s="201">
        <f>IF(ROW()-53&gt;Var_N,"",INDEX(Res_Codigo,ROW()-53)&amp;"  "&amp;INDEX(Res_Nombre,ROW()-53))</f>
      </c>
      <c r="N62" s="202">
        <f>IF(ROW()-53&gt;Var_N,"",INDEX(Res_RangoMot,ROW()-53))</f>
      </c>
      <c r="Q62" s="202">
        <f>IF(ROW()-53&gt;Var_N,"",INDEX(Ind_RangoMot,ROW()-53))</f>
      </c>
      <c r="T62" s="203">
        <f>IF(ROW()-53&gt;Var_N,"",IF(INDEX(Res_RangoMot,ROW()-53)-INDEX(Ind_RangoMot,ROW()-53)&gt;=2,"Influye más de lo que el panel declaró",IF(INDEX(Ind_RangoMot,ROW()-53)-INDEX(Res_RangoMot,ROW()-53)&gt;=2,"Influye menos de lo que parecía","")))</f>
      </c>
    </row>
    <row r="63" ht="17" customHeight="1">
      <c r="B63" s="201">
        <f>IF(ROW()-53&gt;Var_N,"",INDEX(Res_Codigo,ROW()-53)&amp;"  "&amp;INDEX(Res_Nombre,ROW()-53))</f>
      </c>
      <c r="N63" s="202">
        <f>IF(ROW()-53&gt;Var_N,"",INDEX(Res_RangoMot,ROW()-53))</f>
      </c>
      <c r="Q63" s="202">
        <f>IF(ROW()-53&gt;Var_N,"",INDEX(Ind_RangoMot,ROW()-53))</f>
      </c>
      <c r="T63" s="203">
        <f>IF(ROW()-53&gt;Var_N,"",IF(INDEX(Res_RangoMot,ROW()-53)-INDEX(Ind_RangoMot,ROW()-53)&gt;=2,"Influye más de lo que el panel declaró",IF(INDEX(Ind_RangoMot,ROW()-53)-INDEX(Res_RangoMot,ROW()-53)&gt;=2,"Influye menos de lo que parecía","")))</f>
      </c>
    </row>
    <row r="64" ht="17" customHeight="1">
      <c r="B64" s="201">
        <f>IF(ROW()-53&gt;Var_N,"",INDEX(Res_Codigo,ROW()-53)&amp;"  "&amp;INDEX(Res_Nombre,ROW()-53))</f>
      </c>
      <c r="N64" s="202">
        <f>IF(ROW()-53&gt;Var_N,"",INDEX(Res_RangoMot,ROW()-53))</f>
      </c>
      <c r="Q64" s="202">
        <f>IF(ROW()-53&gt;Var_N,"",INDEX(Ind_RangoMot,ROW()-53))</f>
      </c>
      <c r="T64" s="203">
        <f>IF(ROW()-53&gt;Var_N,"",IF(INDEX(Res_RangoMot,ROW()-53)-INDEX(Ind_RangoMot,ROW()-53)&gt;=2,"Influye más de lo que el panel declaró",IF(INDEX(Ind_RangoMot,ROW()-53)-INDEX(Res_RangoMot,ROW()-53)&gt;=2,"Influye menos de lo que parecía","")))</f>
      </c>
    </row>
    <row r="65" ht="17" customHeight="1">
      <c r="B65" s="201">
        <f>IF(ROW()-53&gt;Var_N,"",INDEX(Res_Codigo,ROW()-53)&amp;"  "&amp;INDEX(Res_Nombre,ROW()-53))</f>
      </c>
      <c r="N65" s="202">
        <f>IF(ROW()-53&gt;Var_N,"",INDEX(Res_RangoMot,ROW()-53))</f>
      </c>
      <c r="Q65" s="202">
        <f>IF(ROW()-53&gt;Var_N,"",INDEX(Ind_RangoMot,ROW()-53))</f>
      </c>
      <c r="T65" s="203">
        <f>IF(ROW()-53&gt;Var_N,"",IF(INDEX(Res_RangoMot,ROW()-53)-INDEX(Ind_RangoMot,ROW()-53)&gt;=2,"Influye más de lo que el panel declaró",IF(INDEX(Ind_RangoMot,ROW()-53)-INDEX(Res_RangoMot,ROW()-53)&gt;=2,"Influye menos de lo que parecía","")))</f>
      </c>
    </row>
    <row r="66" ht="17" customHeight="1">
      <c r="B66" s="201">
        <f>IF(ROW()-53&gt;Var_N,"",INDEX(Res_Codigo,ROW()-53)&amp;"  "&amp;INDEX(Res_Nombre,ROW()-53))</f>
      </c>
      <c r="N66" s="202">
        <f>IF(ROW()-53&gt;Var_N,"",INDEX(Res_RangoMot,ROW()-53))</f>
      </c>
      <c r="Q66" s="202">
        <f>IF(ROW()-53&gt;Var_N,"",INDEX(Ind_RangoMot,ROW()-53))</f>
      </c>
      <c r="T66" s="203">
        <f>IF(ROW()-53&gt;Var_N,"",IF(INDEX(Res_RangoMot,ROW()-53)-INDEX(Ind_RangoMot,ROW()-53)&gt;=2,"Influye más de lo que el panel declaró",IF(INDEX(Ind_RangoMot,ROW()-53)-INDEX(Res_RangoMot,ROW()-53)&gt;=2,"Influye menos de lo que parecía","")))</f>
      </c>
    </row>
    <row r="67" ht="17" customHeight="1">
      <c r="B67" s="201">
        <f>IF(ROW()-53&gt;Var_N,"",INDEX(Res_Codigo,ROW()-53)&amp;"  "&amp;INDEX(Res_Nombre,ROW()-53))</f>
      </c>
      <c r="N67" s="202">
        <f>IF(ROW()-53&gt;Var_N,"",INDEX(Res_RangoMot,ROW()-53))</f>
      </c>
      <c r="Q67" s="202">
        <f>IF(ROW()-53&gt;Var_N,"",INDEX(Ind_RangoMot,ROW()-53))</f>
      </c>
      <c r="T67" s="203">
        <f>IF(ROW()-53&gt;Var_N,"",IF(INDEX(Res_RangoMot,ROW()-53)-INDEX(Ind_RangoMot,ROW()-53)&gt;=2,"Influye más de lo que el panel declaró",IF(INDEX(Ind_RangoMot,ROW()-53)-INDEX(Res_RangoMot,ROW()-53)&gt;=2,"Influye menos de lo que parecía","")))</f>
      </c>
    </row>
    <row r="68" ht="17" customHeight="1">
      <c r="B68" s="201">
        <f>IF(ROW()-53&gt;Var_N,"",INDEX(Res_Codigo,ROW()-53)&amp;"  "&amp;INDEX(Res_Nombre,ROW()-53))</f>
      </c>
      <c r="N68" s="202">
        <f>IF(ROW()-53&gt;Var_N,"",INDEX(Res_RangoMot,ROW()-53))</f>
      </c>
      <c r="Q68" s="202">
        <f>IF(ROW()-53&gt;Var_N,"",INDEX(Ind_RangoMot,ROW()-53))</f>
      </c>
      <c r="T68" s="203">
        <f>IF(ROW()-53&gt;Var_N,"",IF(INDEX(Res_RangoMot,ROW()-53)-INDEX(Ind_RangoMot,ROW()-53)&gt;=2,"Influye más de lo que el panel declaró",IF(INDEX(Ind_RangoMot,ROW()-53)-INDEX(Res_RangoMot,ROW()-53)&gt;=2,"Influye menos de lo que parecía","")))</f>
      </c>
    </row>
    <row r="69" ht="17" customHeight="1">
      <c r="B69" s="201">
        <f>IF(ROW()-53&gt;Var_N,"",INDEX(Res_Codigo,ROW()-53)&amp;"  "&amp;INDEX(Res_Nombre,ROW()-53))</f>
      </c>
      <c r="N69" s="202">
        <f>IF(ROW()-53&gt;Var_N,"",INDEX(Res_RangoMot,ROW()-53))</f>
      </c>
      <c r="Q69" s="202">
        <f>IF(ROW()-53&gt;Var_N,"",INDEX(Ind_RangoMot,ROW()-53))</f>
      </c>
      <c r="T69" s="203">
        <f>IF(ROW()-53&gt;Var_N,"",IF(INDEX(Res_RangoMot,ROW()-53)-INDEX(Ind_RangoMot,ROW()-53)&gt;=2,"Influye más de lo que el panel declaró",IF(INDEX(Ind_RangoMot,ROW()-53)-INDEX(Res_RangoMot,ROW()-53)&gt;=2,"Influye menos de lo que parecía","")))</f>
      </c>
    </row>
    <row r="70" ht="17" customHeight="1">
      <c r="B70" s="201">
        <f>IF(ROW()-53&gt;Var_N,"",INDEX(Res_Codigo,ROW()-53)&amp;"  "&amp;INDEX(Res_Nombre,ROW()-53))</f>
      </c>
      <c r="N70" s="202">
        <f>IF(ROW()-53&gt;Var_N,"",INDEX(Res_RangoMot,ROW()-53))</f>
      </c>
      <c r="Q70" s="202">
        <f>IF(ROW()-53&gt;Var_N,"",INDEX(Ind_RangoMot,ROW()-53))</f>
      </c>
      <c r="T70" s="203">
        <f>IF(ROW()-53&gt;Var_N,"",IF(INDEX(Res_RangoMot,ROW()-53)-INDEX(Ind_RangoMot,ROW()-53)&gt;=2,"Influye más de lo que el panel declaró",IF(INDEX(Ind_RangoMot,ROW()-53)-INDEX(Res_RangoMot,ROW()-53)&gt;=2,"Influye menos de lo que parecía","")))</f>
      </c>
    </row>
    <row r="71" ht="17" customHeight="1">
      <c r="B71" s="201">
        <f>IF(ROW()-53&gt;Var_N,"",INDEX(Res_Codigo,ROW()-53)&amp;"  "&amp;INDEX(Res_Nombre,ROW()-53))</f>
      </c>
      <c r="N71" s="202">
        <f>IF(ROW()-53&gt;Var_N,"",INDEX(Res_RangoMot,ROW()-53))</f>
      </c>
      <c r="Q71" s="202">
        <f>IF(ROW()-53&gt;Var_N,"",INDEX(Ind_RangoMot,ROW()-53))</f>
      </c>
      <c r="T71" s="203">
        <f>IF(ROW()-53&gt;Var_N,"",IF(INDEX(Res_RangoMot,ROW()-53)-INDEX(Ind_RangoMot,ROW()-53)&gt;=2,"Influye más de lo que el panel declaró",IF(INDEX(Ind_RangoMot,ROW()-53)-INDEX(Res_RangoMot,ROW()-53)&gt;=2,"Influye menos de lo que parecía","")))</f>
      </c>
    </row>
    <row r="72" ht="17" customHeight="1">
      <c r="B72" s="201">
        <f>IF(ROW()-53&gt;Var_N,"",INDEX(Res_Codigo,ROW()-53)&amp;"  "&amp;INDEX(Res_Nombre,ROW()-53))</f>
      </c>
      <c r="N72" s="202">
        <f>IF(ROW()-53&gt;Var_N,"",INDEX(Res_RangoMot,ROW()-53))</f>
      </c>
      <c r="Q72" s="202">
        <f>IF(ROW()-53&gt;Var_N,"",INDEX(Ind_RangoMot,ROW()-53))</f>
      </c>
      <c r="T72" s="203">
        <f>IF(ROW()-53&gt;Var_N,"",IF(INDEX(Res_RangoMot,ROW()-53)-INDEX(Ind_RangoMot,ROW()-53)&gt;=2,"Influye más de lo que el panel declaró",IF(INDEX(Ind_RangoMot,ROW()-53)-INDEX(Res_RangoMot,ROW()-53)&gt;=2,"Influye menos de lo que parecía","")))</f>
      </c>
    </row>
    <row r="73" ht="17" customHeight="1">
      <c r="B73" s="201">
        <f>IF(ROW()-53&gt;Var_N,"",INDEX(Res_Codigo,ROW()-53)&amp;"  "&amp;INDEX(Res_Nombre,ROW()-53))</f>
      </c>
      <c r="N73" s="202">
        <f>IF(ROW()-53&gt;Var_N,"",INDEX(Res_RangoMot,ROW()-53))</f>
      </c>
      <c r="Q73" s="202">
        <f>IF(ROW()-53&gt;Var_N,"",INDEX(Ind_RangoMot,ROW()-53))</f>
      </c>
      <c r="T73" s="203">
        <f>IF(ROW()-53&gt;Var_N,"",IF(INDEX(Res_RangoMot,ROW()-53)-INDEX(Ind_RangoMot,ROW()-53)&gt;=2,"Influye más de lo que el panel declaró",IF(INDEX(Ind_RangoMot,ROW()-53)-INDEX(Res_RangoMot,ROW()-53)&gt;=2,"Influye menos de lo que parecía","")))</f>
      </c>
    </row>
    <row r="74" ht="17" customHeight="1">
      <c r="B74" s="201">
        <f>IF(ROW()-53&gt;Var_N,"",INDEX(Res_Codigo,ROW()-53)&amp;"  "&amp;INDEX(Res_Nombre,ROW()-53))</f>
      </c>
      <c r="N74" s="202">
        <f>IF(ROW()-53&gt;Var_N,"",INDEX(Res_RangoMot,ROW()-53))</f>
      </c>
      <c r="Q74" s="202">
        <f>IF(ROW()-53&gt;Var_N,"",INDEX(Ind_RangoMot,ROW()-53))</f>
      </c>
      <c r="T74" s="203">
        <f>IF(ROW()-53&gt;Var_N,"",IF(INDEX(Res_RangoMot,ROW()-53)-INDEX(Ind_RangoMot,ROW()-53)&gt;=2,"Influye más de lo que el panel declaró",IF(INDEX(Ind_RangoMot,ROW()-53)-INDEX(Res_RangoMot,ROW()-53)&gt;=2,"Influye menos de lo que parecía","")))</f>
      </c>
    </row>
    <row r="75" ht="17" customHeight="1">
      <c r="B75" s="201">
        <f>IF(ROW()-53&gt;Var_N,"",INDEX(Res_Codigo,ROW()-53)&amp;"  "&amp;INDEX(Res_Nombre,ROW()-53))</f>
      </c>
      <c r="N75" s="202">
        <f>IF(ROW()-53&gt;Var_N,"",INDEX(Res_RangoMot,ROW()-53))</f>
      </c>
      <c r="Q75" s="202">
        <f>IF(ROW()-53&gt;Var_N,"",INDEX(Ind_RangoMot,ROW()-53))</f>
      </c>
      <c r="T75" s="203">
        <f>IF(ROW()-53&gt;Var_N,"",IF(INDEX(Res_RangoMot,ROW()-53)-INDEX(Ind_RangoMot,ROW()-53)&gt;=2,"Influye más de lo que el panel declaró",IF(INDEX(Ind_RangoMot,ROW()-53)-INDEX(Res_RangoMot,ROW()-53)&gt;=2,"Influye menos de lo que parecía","")))</f>
      </c>
    </row>
    <row r="76" ht="17" customHeight="1">
      <c r="B76" s="201">
        <f>IF(ROW()-53&gt;Var_N,"",INDEX(Res_Codigo,ROW()-53)&amp;"  "&amp;INDEX(Res_Nombre,ROW()-53))</f>
      </c>
      <c r="N76" s="202">
        <f>IF(ROW()-53&gt;Var_N,"",INDEX(Res_RangoMot,ROW()-53))</f>
      </c>
      <c r="Q76" s="202">
        <f>IF(ROW()-53&gt;Var_N,"",INDEX(Ind_RangoMot,ROW()-53))</f>
      </c>
      <c r="T76" s="203">
        <f>IF(ROW()-53&gt;Var_N,"",IF(INDEX(Res_RangoMot,ROW()-53)-INDEX(Ind_RangoMot,ROW()-53)&gt;=2,"Influye más de lo que el panel declaró",IF(INDEX(Ind_RangoMot,ROW()-53)-INDEX(Res_RangoMot,ROW()-53)&gt;=2,"Influye menos de lo que parecía","")))</f>
      </c>
    </row>
    <row r="77" ht="17" customHeight="1">
      <c r="B77" s="201">
        <f>IF(ROW()-53&gt;Var_N,"",INDEX(Res_Codigo,ROW()-53)&amp;"  "&amp;INDEX(Res_Nombre,ROW()-53))</f>
      </c>
      <c r="N77" s="202">
        <f>IF(ROW()-53&gt;Var_N,"",INDEX(Res_RangoMot,ROW()-53))</f>
      </c>
      <c r="Q77" s="202">
        <f>IF(ROW()-53&gt;Var_N,"",INDEX(Ind_RangoMot,ROW()-53))</f>
      </c>
      <c r="T77" s="203">
        <f>IF(ROW()-53&gt;Var_N,"",IF(INDEX(Res_RangoMot,ROW()-53)-INDEX(Ind_RangoMot,ROW()-53)&gt;=2,"Influye más de lo que el panel declaró",IF(INDEX(Ind_RangoMot,ROW()-53)-INDEX(Res_RangoMot,ROW()-53)&gt;=2,"Influye menos de lo que parecía","")))</f>
      </c>
    </row>
    <row r="78" ht="17" customHeight="1">
      <c r="B78" s="201">
        <f>IF(ROW()-53&gt;Var_N,"",INDEX(Res_Codigo,ROW()-53)&amp;"  "&amp;INDEX(Res_Nombre,ROW()-53))</f>
      </c>
      <c r="N78" s="202">
        <f>IF(ROW()-53&gt;Var_N,"",INDEX(Res_RangoMot,ROW()-53))</f>
      </c>
      <c r="Q78" s="202">
        <f>IF(ROW()-53&gt;Var_N,"",INDEX(Ind_RangoMot,ROW()-53))</f>
      </c>
      <c r="T78" s="203">
        <f>IF(ROW()-53&gt;Var_N,"",IF(INDEX(Res_RangoMot,ROW()-53)-INDEX(Ind_RangoMot,ROW()-53)&gt;=2,"Influye más de lo que el panel declaró",IF(INDEX(Ind_RangoMot,ROW()-53)-INDEX(Res_RangoMot,ROW()-53)&gt;=2,"Influye menos de lo que parecía","")))</f>
      </c>
    </row>
    <row r="79" ht="20" customHeight="1">
      <c r="B79" s="199" t="inlineStr">
        <is>
          <t xml:space="preserve">Motriz: influencia alta y dependencia baja. Clave: ambas altas, por eso resulta inestable. Resultado: dependencia alta e influencia baja. Autónomo: ambas bajas.</t>
        </is>
      </c>
    </row>
    <row r="80" ht="20" customHeight="1">
      <c r="B80" s="192" t="inlineStr">
        <is>
          <t xml:space="preserve">EL PAPEL DE CADA FACTOR</t>
        </is>
      </c>
      <c r="C80" s="192"/>
      <c r="D80" s="192"/>
      <c r="E80" s="192"/>
      <c r="F80" s="192"/>
      <c r="G80" s="192"/>
      <c r="H80" s="192"/>
      <c r="I80" s="192"/>
      <c r="J80" s="192"/>
      <c r="K80" s="192"/>
      <c r="L80" s="192"/>
      <c r="M80" s="192"/>
      <c r="N80" s="192"/>
      <c r="O80" s="192"/>
      <c r="P80" s="192"/>
      <c r="Q80" s="192"/>
      <c r="R80" s="192"/>
      <c r="S80" s="192"/>
      <c r="T80" s="192"/>
      <c r="U80" s="192"/>
      <c r="V80" s="192"/>
      <c r="W80" s="192"/>
      <c r="X80" s="192"/>
      <c r="Y80" s="192"/>
      <c r="Z80" s="192"/>
      <c r="AA80" s="192"/>
      <c r="AB80" s="192"/>
      <c r="AC80" s="192"/>
      <c r="AD80" s="192"/>
      <c r="AE80" s="192"/>
    </row>
    <row r="81" ht="20" customHeight="1">
      <c r="B81" s="193" t="inlineStr">
        <is>
          <t xml:space="preserve">FACTOR</t>
        </is>
      </c>
      <c r="L81" s="194" t="inlineStr">
        <is>
          <t xml:space="preserve">INFLUYE</t>
        </is>
      </c>
      <c r="O81" s="194" t="inlineStr">
        <is>
          <t xml:space="preserve">ES INFLUIDO</t>
        </is>
      </c>
      <c r="R81" s="193" t="inlineStr">
        <is>
          <t xml:space="preserve">PAPEL Y CÓMO SE LEE</t>
        </is>
      </c>
    </row>
    <row r="82" ht="17" customHeight="1">
      <c r="B82" s="201">
        <f>IF(ROW()-81&gt;Var_N,"",INDEX(Res_Codigo,ROW()-81)&amp;"  "&amp;INDEX(Res_Nombre,ROW()-81))</f>
      </c>
      <c r="L82" s="202">
        <f>IF(ROW()-81&gt;Var_N,"",INDEX(Res_Motricidad,ROW()-81))</f>
      </c>
      <c r="O82" s="202">
        <f>IF(ROW()-81&gt;Var_N,"",INDEX(Res_Dependencia,ROW()-81))</f>
      </c>
      <c r="R82"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83" ht="17" customHeight="1">
      <c r="B83" s="201">
        <f>IF(ROW()-81&gt;Var_N,"",INDEX(Res_Codigo,ROW()-81)&amp;"  "&amp;INDEX(Res_Nombre,ROW()-81))</f>
      </c>
      <c r="L83" s="202">
        <f>IF(ROW()-81&gt;Var_N,"",INDEX(Res_Motricidad,ROW()-81))</f>
      </c>
      <c r="O83" s="202">
        <f>IF(ROW()-81&gt;Var_N,"",INDEX(Res_Dependencia,ROW()-81))</f>
      </c>
      <c r="R83"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84" ht="17" customHeight="1">
      <c r="B84" s="201">
        <f>IF(ROW()-81&gt;Var_N,"",INDEX(Res_Codigo,ROW()-81)&amp;"  "&amp;INDEX(Res_Nombre,ROW()-81))</f>
      </c>
      <c r="L84" s="202">
        <f>IF(ROW()-81&gt;Var_N,"",INDEX(Res_Motricidad,ROW()-81))</f>
      </c>
      <c r="O84" s="202">
        <f>IF(ROW()-81&gt;Var_N,"",INDEX(Res_Dependencia,ROW()-81))</f>
      </c>
      <c r="R84"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85" ht="17" customHeight="1">
      <c r="B85" s="201">
        <f>IF(ROW()-81&gt;Var_N,"",INDEX(Res_Codigo,ROW()-81)&amp;"  "&amp;INDEX(Res_Nombre,ROW()-81))</f>
      </c>
      <c r="L85" s="202">
        <f>IF(ROW()-81&gt;Var_N,"",INDEX(Res_Motricidad,ROW()-81))</f>
      </c>
      <c r="O85" s="202">
        <f>IF(ROW()-81&gt;Var_N,"",INDEX(Res_Dependencia,ROW()-81))</f>
      </c>
      <c r="R85"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86" ht="17" customHeight="1">
      <c r="B86" s="201">
        <f>IF(ROW()-81&gt;Var_N,"",INDEX(Res_Codigo,ROW()-81)&amp;"  "&amp;INDEX(Res_Nombre,ROW()-81))</f>
      </c>
      <c r="L86" s="202">
        <f>IF(ROW()-81&gt;Var_N,"",INDEX(Res_Motricidad,ROW()-81))</f>
      </c>
      <c r="O86" s="202">
        <f>IF(ROW()-81&gt;Var_N,"",INDEX(Res_Dependencia,ROW()-81))</f>
      </c>
      <c r="R86"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87" ht="17" customHeight="1">
      <c r="B87" s="201">
        <f>IF(ROW()-81&gt;Var_N,"",INDEX(Res_Codigo,ROW()-81)&amp;"  "&amp;INDEX(Res_Nombre,ROW()-81))</f>
      </c>
      <c r="L87" s="202">
        <f>IF(ROW()-81&gt;Var_N,"",INDEX(Res_Motricidad,ROW()-81))</f>
      </c>
      <c r="O87" s="202">
        <f>IF(ROW()-81&gt;Var_N,"",INDEX(Res_Dependencia,ROW()-81))</f>
      </c>
      <c r="R87"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88" ht="17" customHeight="1">
      <c r="B88" s="201">
        <f>IF(ROW()-81&gt;Var_N,"",INDEX(Res_Codigo,ROW()-81)&amp;"  "&amp;INDEX(Res_Nombre,ROW()-81))</f>
      </c>
      <c r="L88" s="202">
        <f>IF(ROW()-81&gt;Var_N,"",INDEX(Res_Motricidad,ROW()-81))</f>
      </c>
      <c r="O88" s="202">
        <f>IF(ROW()-81&gt;Var_N,"",INDEX(Res_Dependencia,ROW()-81))</f>
      </c>
      <c r="R88"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89" ht="17" customHeight="1">
      <c r="B89" s="201">
        <f>IF(ROW()-81&gt;Var_N,"",INDEX(Res_Codigo,ROW()-81)&amp;"  "&amp;INDEX(Res_Nombre,ROW()-81))</f>
      </c>
      <c r="L89" s="202">
        <f>IF(ROW()-81&gt;Var_N,"",INDEX(Res_Motricidad,ROW()-81))</f>
      </c>
      <c r="O89" s="202">
        <f>IF(ROW()-81&gt;Var_N,"",INDEX(Res_Dependencia,ROW()-81))</f>
      </c>
      <c r="R89"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90" ht="17" customHeight="1">
      <c r="B90" s="201">
        <f>IF(ROW()-81&gt;Var_N,"",INDEX(Res_Codigo,ROW()-81)&amp;"  "&amp;INDEX(Res_Nombre,ROW()-81))</f>
      </c>
      <c r="L90" s="202">
        <f>IF(ROW()-81&gt;Var_N,"",INDEX(Res_Motricidad,ROW()-81))</f>
      </c>
      <c r="O90" s="202">
        <f>IF(ROW()-81&gt;Var_N,"",INDEX(Res_Dependencia,ROW()-81))</f>
      </c>
      <c r="R90"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91" ht="17" customHeight="1">
      <c r="B91" s="201">
        <f>IF(ROW()-81&gt;Var_N,"",INDEX(Res_Codigo,ROW()-81)&amp;"  "&amp;INDEX(Res_Nombre,ROW()-81))</f>
      </c>
      <c r="L91" s="202">
        <f>IF(ROW()-81&gt;Var_N,"",INDEX(Res_Motricidad,ROW()-81))</f>
      </c>
      <c r="O91" s="202">
        <f>IF(ROW()-81&gt;Var_N,"",INDEX(Res_Dependencia,ROW()-81))</f>
      </c>
      <c r="R91"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92" ht="17" customHeight="1">
      <c r="B92" s="201">
        <f>IF(ROW()-81&gt;Var_N,"",INDEX(Res_Codigo,ROW()-81)&amp;"  "&amp;INDEX(Res_Nombre,ROW()-81))</f>
      </c>
      <c r="L92" s="202">
        <f>IF(ROW()-81&gt;Var_N,"",INDEX(Res_Motricidad,ROW()-81))</f>
      </c>
      <c r="O92" s="202">
        <f>IF(ROW()-81&gt;Var_N,"",INDEX(Res_Dependencia,ROW()-81))</f>
      </c>
      <c r="R92"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93" ht="17" customHeight="1">
      <c r="B93" s="201">
        <f>IF(ROW()-81&gt;Var_N,"",INDEX(Res_Codigo,ROW()-81)&amp;"  "&amp;INDEX(Res_Nombre,ROW()-81))</f>
      </c>
      <c r="L93" s="202">
        <f>IF(ROW()-81&gt;Var_N,"",INDEX(Res_Motricidad,ROW()-81))</f>
      </c>
      <c r="O93" s="202">
        <f>IF(ROW()-81&gt;Var_N,"",INDEX(Res_Dependencia,ROW()-81))</f>
      </c>
      <c r="R93"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94" ht="17" customHeight="1">
      <c r="B94" s="201">
        <f>IF(ROW()-81&gt;Var_N,"",INDEX(Res_Codigo,ROW()-81)&amp;"  "&amp;INDEX(Res_Nombre,ROW()-81))</f>
      </c>
      <c r="L94" s="202">
        <f>IF(ROW()-81&gt;Var_N,"",INDEX(Res_Motricidad,ROW()-81))</f>
      </c>
      <c r="O94" s="202">
        <f>IF(ROW()-81&gt;Var_N,"",INDEX(Res_Dependencia,ROW()-81))</f>
      </c>
      <c r="R94"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95" ht="17" customHeight="1">
      <c r="B95" s="201">
        <f>IF(ROW()-81&gt;Var_N,"",INDEX(Res_Codigo,ROW()-81)&amp;"  "&amp;INDEX(Res_Nombre,ROW()-81))</f>
      </c>
      <c r="L95" s="202">
        <f>IF(ROW()-81&gt;Var_N,"",INDEX(Res_Motricidad,ROW()-81))</f>
      </c>
      <c r="O95" s="202">
        <f>IF(ROW()-81&gt;Var_N,"",INDEX(Res_Dependencia,ROW()-81))</f>
      </c>
      <c r="R95"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96" ht="17" customHeight="1">
      <c r="B96" s="201">
        <f>IF(ROW()-81&gt;Var_N,"",INDEX(Res_Codigo,ROW()-81)&amp;"  "&amp;INDEX(Res_Nombre,ROW()-81))</f>
      </c>
      <c r="L96" s="202">
        <f>IF(ROW()-81&gt;Var_N,"",INDEX(Res_Motricidad,ROW()-81))</f>
      </c>
      <c r="O96" s="202">
        <f>IF(ROW()-81&gt;Var_N,"",INDEX(Res_Dependencia,ROW()-81))</f>
      </c>
      <c r="R96"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97" ht="17" customHeight="1">
      <c r="B97" s="201">
        <f>IF(ROW()-81&gt;Var_N,"",INDEX(Res_Codigo,ROW()-81)&amp;"  "&amp;INDEX(Res_Nombre,ROW()-81))</f>
      </c>
      <c r="L97" s="202">
        <f>IF(ROW()-81&gt;Var_N,"",INDEX(Res_Motricidad,ROW()-81))</f>
      </c>
      <c r="O97" s="202">
        <f>IF(ROW()-81&gt;Var_N,"",INDEX(Res_Dependencia,ROW()-81))</f>
      </c>
      <c r="R97"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98" ht="17" customHeight="1">
      <c r="B98" s="201">
        <f>IF(ROW()-81&gt;Var_N,"",INDEX(Res_Codigo,ROW()-81)&amp;"  "&amp;INDEX(Res_Nombre,ROW()-81))</f>
      </c>
      <c r="L98" s="202">
        <f>IF(ROW()-81&gt;Var_N,"",INDEX(Res_Motricidad,ROW()-81))</f>
      </c>
      <c r="O98" s="202">
        <f>IF(ROW()-81&gt;Var_N,"",INDEX(Res_Dependencia,ROW()-81))</f>
      </c>
      <c r="R98"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99" ht="17" customHeight="1">
      <c r="B99" s="201">
        <f>IF(ROW()-81&gt;Var_N,"",INDEX(Res_Codigo,ROW()-81)&amp;"  "&amp;INDEX(Res_Nombre,ROW()-81))</f>
      </c>
      <c r="L99" s="202">
        <f>IF(ROW()-81&gt;Var_N,"",INDEX(Res_Motricidad,ROW()-81))</f>
      </c>
      <c r="O99" s="202">
        <f>IF(ROW()-81&gt;Var_N,"",INDEX(Res_Dependencia,ROW()-81))</f>
      </c>
      <c r="R99"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100" ht="17" customHeight="1">
      <c r="B100" s="201">
        <f>IF(ROW()-81&gt;Var_N,"",INDEX(Res_Codigo,ROW()-81)&amp;"  "&amp;INDEX(Res_Nombre,ROW()-81))</f>
      </c>
      <c r="L100" s="202">
        <f>IF(ROW()-81&gt;Var_N,"",INDEX(Res_Motricidad,ROW()-81))</f>
      </c>
      <c r="O100" s="202">
        <f>IF(ROW()-81&gt;Var_N,"",INDEX(Res_Dependencia,ROW()-81))</f>
      </c>
      <c r="R100"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101" ht="17" customHeight="1">
      <c r="B101" s="201">
        <f>IF(ROW()-81&gt;Var_N,"",INDEX(Res_Codigo,ROW()-81)&amp;"  "&amp;INDEX(Res_Nombre,ROW()-81))</f>
      </c>
      <c r="L101" s="202">
        <f>IF(ROW()-81&gt;Var_N,"",INDEX(Res_Motricidad,ROW()-81))</f>
      </c>
      <c r="O101" s="202">
        <f>IF(ROW()-81&gt;Var_N,"",INDEX(Res_Dependencia,ROW()-81))</f>
      </c>
      <c r="R101"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102" ht="17" customHeight="1">
      <c r="B102" s="201">
        <f>IF(ROW()-81&gt;Var_N,"",INDEX(Res_Codigo,ROW()-81)&amp;"  "&amp;INDEX(Res_Nombre,ROW()-81))</f>
      </c>
      <c r="L102" s="202">
        <f>IF(ROW()-81&gt;Var_N,"",INDEX(Res_Motricidad,ROW()-81))</f>
      </c>
      <c r="O102" s="202">
        <f>IF(ROW()-81&gt;Var_N,"",INDEX(Res_Dependencia,ROW()-81))</f>
      </c>
      <c r="R102"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103" ht="17" customHeight="1">
      <c r="B103" s="201">
        <f>IF(ROW()-81&gt;Var_N,"",INDEX(Res_Codigo,ROW()-81)&amp;"  "&amp;INDEX(Res_Nombre,ROW()-81))</f>
      </c>
      <c r="L103" s="202">
        <f>IF(ROW()-81&gt;Var_N,"",INDEX(Res_Motricidad,ROW()-81))</f>
      </c>
      <c r="O103" s="202">
        <f>IF(ROW()-81&gt;Var_N,"",INDEX(Res_Dependencia,ROW()-81))</f>
      </c>
      <c r="R103"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104" ht="17" customHeight="1">
      <c r="B104" s="201">
        <f>IF(ROW()-81&gt;Var_N,"",INDEX(Res_Codigo,ROW()-81)&amp;"  "&amp;INDEX(Res_Nombre,ROW()-81))</f>
      </c>
      <c r="L104" s="202">
        <f>IF(ROW()-81&gt;Var_N,"",INDEX(Res_Motricidad,ROW()-81))</f>
      </c>
      <c r="O104" s="202">
        <f>IF(ROW()-81&gt;Var_N,"",INDEX(Res_Dependencia,ROW()-81))</f>
      </c>
      <c r="R104"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105" ht="17" customHeight="1">
      <c r="B105" s="201">
        <f>IF(ROW()-81&gt;Var_N,"",INDEX(Res_Codigo,ROW()-81)&amp;"  "&amp;INDEX(Res_Nombre,ROW()-81))</f>
      </c>
      <c r="L105" s="202">
        <f>IF(ROW()-81&gt;Var_N,"",INDEX(Res_Motricidad,ROW()-81))</f>
      </c>
      <c r="O105" s="202">
        <f>IF(ROW()-81&gt;Var_N,"",INDEX(Res_Dependencia,ROW()-81))</f>
      </c>
      <c r="R105"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106" ht="17" customHeight="1">
      <c r="B106" s="201">
        <f>IF(ROW()-81&gt;Var_N,"",INDEX(Res_Codigo,ROW()-81)&amp;"  "&amp;INDEX(Res_Nombre,ROW()-81))</f>
      </c>
      <c r="L106" s="202">
        <f>IF(ROW()-81&gt;Var_N,"",INDEX(Res_Motricidad,ROW()-81))</f>
      </c>
      <c r="O106" s="202">
        <f>IF(ROW()-81&gt;Var_N,"",INDEX(Res_Dependencia,ROW()-81))</f>
      </c>
      <c r="R106" s="203">
        <f>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c>
    </row>
    <row r="107" ht="20" customHeight="1">
      <c r="B107" s="199" t="inlineStr">
        <is>
          <t xml:space="preserve">Estos avisos no son errores: señalan lo que conviene explicar en el informe. En este caso, la densidad supera el rango habitual y hay factores aislados.</t>
        </is>
      </c>
    </row>
    <row r="108">
      <c r="B108" s="192" t="inlineStr">
        <is>
          <t xml:space="preserve">SITUACIONES QUE CONVIENE REVISAR</t>
        </is>
      </c>
      <c r="C108" s="192"/>
      <c r="D108" s="192"/>
      <c r="E108" s="192"/>
      <c r="F108" s="192"/>
      <c r="G108" s="192"/>
      <c r="H108" s="192"/>
      <c r="I108" s="192"/>
      <c r="J108" s="192"/>
      <c r="K108" s="192"/>
      <c r="L108" s="192"/>
      <c r="M108" s="192"/>
      <c r="N108" s="192"/>
      <c r="O108" s="192"/>
      <c r="P108" s="192"/>
      <c r="Q108" s="192"/>
      <c r="R108" s="192"/>
      <c r="S108" s="192"/>
      <c r="T108" s="192"/>
      <c r="U108" s="192"/>
      <c r="V108" s="192"/>
      <c r="W108" s="192"/>
      <c r="X108" s="192"/>
      <c r="Y108" s="192"/>
      <c r="Z108" s="192"/>
      <c r="AA108" s="192"/>
      <c r="AB108" s="192"/>
      <c r="AC108" s="192"/>
      <c r="AD108" s="192"/>
      <c r="AE108" s="192"/>
    </row>
    <row r="109" ht="22" customHeight="1">
      <c r="B109" s="144">
        <f>IF(Var_N&lt;2,"",IF(OR(Ind_Densidad&lt;0.2,Ind_Densidad&gt;0.25),"⚠",""))</f>
      </c>
      <c r="C109" s="203">
        <f>IF(Var_N&lt;2,"",IF(OR(Ind_Densidad&lt;0.2,Ind_Densidad&gt;0.25),"Densidad del "&amp;ROUND(Ind_Densidad*100,1)&amp;" %, fuera del rango habitual del 20 % al 25 %.",""))</f>
      </c>
    </row>
    <row r="110" ht="22" customHeight="1">
      <c r="B110" s="144">
        <f>IF(Var_N&lt;2,"",IF(IF(Ind_NoNulas=0,0,COUNTIF('04 · Matriz'!$C$6:$AA$30,3)/Ind_NoNulas)&gt;0.6,"⚠",""))</f>
      </c>
      <c r="C110" s="203">
        <f>IF(Var_N&lt;2,"",IF(IF(Ind_NoNulas=0,0,COUNTIF('04 · Matriz'!$C$6:$AA$30,3)/Ind_NoNulas)&gt;0.6,"El "&amp;ROUND(IF(Ind_NoNulas=0,0,COUNTIF('04 · Matriz'!$C$6:$AA$30,3)/Ind_NoNulas)*100,0)&amp;" % de las relaciones se valoraron como 3: el panel puede no estar distinguiendo intensidades.",""))</f>
      </c>
    </row>
    <row r="111" ht="22" customHeight="1">
      <c r="B111" s="144">
        <f>IF(Var_N&lt;2,"",IF(IF(Var_N&lt;2,0,SUMPRODUCT((Res_Motricidad=0)*(ROW(Res_Motricidad)-ROW(INDEX(Res_Motricidad,1))+1&lt;=Var_N))+SUMPRODUCT((Res_Dependencia=0)*(ROW(Res_Dependencia)-ROW(INDEX(Res_Dependencia,1))+1&lt;=Var_N)))&gt;0,"⚠",""))</f>
      </c>
      <c r="C111" s="203">
        <f>IF(Var_N&lt;2,"",IF(IF(Var_N&lt;2,0,SUMPRODUCT((Res_Motricidad=0)*(ROW(Res_Motricidad)-ROW(INDEX(Res_Motricidad,1))+1&lt;=Var_N))+SUMPRODUCT((Res_Dependencia=0)*(ROW(Res_Dependencia)-ROW(INDEX(Res_Dependencia,1))+1&lt;=Var_N)))&gt;0,IF(Var_N&lt;2,0,SUMPRODUCT((Res_Motricidad=0)*(ROW(Res_Motricidad)-ROW(INDEX(Res_Motricidad,1))+1&lt;=Var_N))+SUMPRODUCT((Res_Dependencia=0)*(ROW(Res_Dependencia)-ROW(INDEX(Res_Dependencia,1))+1&lt;=Var_N)))&amp;IF(IF(Var_N&lt;2,0,SUMPRODUCT((Res_Motricidad=0)*(ROW(Res_Motricidad)-ROW(INDEX(Res_Motricidad,1))+1&lt;=Var_N))+SUMPRODUCT((Res_Dependencia=0)*(ROW(Res_Dependencia)-ROW(INDEX(Res_Dependencia,1))+1&lt;=Var_N)))=1," factor quedó aislado"," factores quedaron aislados")&amp;" en la matriz.",""))</f>
      </c>
    </row>
    <row r="112" ht="22" customHeight="1">
      <c r="B112" s="144">
        <f>IF(Var_N&lt;2,"",IF(SUMPRODUCT(('02 · Variables'!$C$7:$C$31&lt;&gt;"")*(COUNTIF('02 · Variables'!$C$7:$C$31,LEFT('02 · Variables'!$C$7:$C$31,12)&amp;"*")&gt;1))-SUMPRODUCT(('02 · Variables'!$C$7:$C$31&lt;&gt;"")*(COUNTIF('02 · Variables'!$C$7:$C$31,'02 · Variables'!$C$7:$C$31&amp;"")&gt;1))&gt;0,"⚠",""))</f>
      </c>
      <c r="C112" s="203">
        <f>IF(Var_N&lt;2,"",IF(SUMPRODUCT(('02 · Variables'!$C$7:$C$31&lt;&gt;"")*(COUNTIF('02 · Variables'!$C$7:$C$31,LEFT('02 · Variables'!$C$7:$C$31,12)&amp;"*")&gt;1))-SUMPRODUCT(('02 · Variables'!$C$7:$C$31&lt;&gt;"")*(COUNTIF('02 · Variables'!$C$7:$C$31,'02 · Variables'!$C$7:$C$31&amp;"")&gt;1))&gt;0,SUMPRODUCT(('02 · Variables'!$C$7:$C$31&lt;&gt;"")*(COUNTIF('02 · Variables'!$C$7:$C$31,LEFT('02 · Variables'!$C$7:$C$31,12)&amp;"*")&gt;1))-SUMPRODUCT(('02 · Variables'!$C$7:$C$31&lt;&gt;"")*(COUNTIF('02 · Variables'!$C$7:$C$31,'02 · Variables'!$C$7:$C$31&amp;"")&gt;1))&amp;IF(SUMPRODUCT(('02 · Variables'!$C$7:$C$31&lt;&gt;"")*(COUNTIF('02 · Variables'!$C$7:$C$31,LEFT('02 · Variables'!$C$7:$C$31,12)&amp;"*")&gt;1))-SUMPRODUCT(('02 · Variables'!$C$7:$C$31&lt;&gt;"")*(COUNTIF('02 · Variables'!$C$7:$C$31,'02 · Variables'!$C$7:$C$31&amp;"")&gt;1))=1," nombre de factor resulta casi idéntico a otro"," nombres de factor resultan casi idénticos entre sí")&amp;".",""))</f>
      </c>
    </row>
    <row r="113" ht="22" customHeight="1">
      <c r="B113" s="144">
        <f>IF(Var_N&lt;2,"",IF(COUNTIF(Res_Tipologia,"5 · Pelotón (no concluyente)")&gt;Var_N*0.4,"⚠",""))</f>
      </c>
      <c r="C113" s="203">
        <f>IF(Var_N&lt;2,"",IF(COUNTIF(Res_Tipologia,"5 · Pelotón (no concluyente)")&gt;Var_N*0.4,COUNTIF(Res_Tipologia,"5 · Pelotón (no concluyente)")&amp;" factores caen en la zona de indeterminación: el plano discrimina poco.",""))</f>
      </c>
    </row>
    <row r="114" ht="22" customHeight="1">
      <c r="B114" s="144">
        <f>IF(Var_N&lt;2,"",IF(OR((IF(OR('03 · Criterio'!$D$13="",OR('03 · Criterio'!$D$13=0,'03 · Criterio'!$D$13="0")),0,1)+IF(OR('03 · Criterio'!$D$15="",OR('03 · Criterio'!$D$15=0,'03 · Criterio'!$D$15="0")),0,1))&gt;0,IF(OR('03 · Criterio'!$D$19="",OR('03 · Criterio'!$D$19=4,'03 · Criterio'!$D$19="4")),0,1)&gt;0),"⚠",""))</f>
      </c>
      <c r="C114" s="203">
        <f>IF(Var_N&lt;2,"",IF(OR((IF(OR('03 · Criterio'!$D$13="",OR('03 · Criterio'!$D$13=0,'03 · Criterio'!$D$13="0")),0,1)+IF(OR('03 · Criterio'!$D$15="",OR('03 · Criterio'!$D$15=0,'03 · Criterio'!$D$15="0")),0,1))&gt;0,IF(OR('03 · Criterio'!$D$19="",OR('03 · Criterio'!$D$19=4,'03 · Criterio'!$D$19="4")),0,1)&gt;0),"Durante la calibración el panel resolvió algún caso de forma incoherente con el método.",""))</f>
      </c>
    </row>
    <row r="115" ht="24" customHeight="1">
      <c r="B115" s="142">
        <f>IF(Var_N&lt;2,"",IF((OR(Ind_Densidad&lt;0.2,Ind_Densidad&gt;0.25))*1+(IF(Ind_NoNulas=0,0,COUNTIF('04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Criterio'!$D$19="4")),0,1)&gt;0))*1=0,"● Ninguna situación atípica. La lectura puede darse por buena.",IF((OR(Ind_Densidad&lt;0.2,Ind_Densidad&gt;0.25))*1+(IF(Ind_NoNulas=0,0,COUNTIF('04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Criterio'!$D$19="4")),0,1)&gt;0))*1=1,"● 1 situación merece una explicación en el informe","● "&amp;(OR(Ind_Densidad&lt;0.2,Ind_Densidad&gt;0.25))*1+(IF(Ind_NoNulas=0,0,COUNTIF('04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Criterio'!$D$19="4")),0,1)&gt;0))*1&amp;" situaciones merecen una explicación en el informe")))</f>
      </c>
    </row>
    <row r="117" ht="20" customHeight="1">
      <c r="B117" s="192" t="inlineStr">
        <is>
          <t xml:space="preserve">LO QUE ESTE ANÁLISIS NO PERMITE AFIRMAR</t>
        </is>
      </c>
      <c r="C117" s="192"/>
      <c r="D117" s="192"/>
      <c r="E117" s="192"/>
      <c r="F117" s="192"/>
      <c r="G117" s="192"/>
      <c r="H117" s="192"/>
      <c r="I117" s="192"/>
      <c r="J117" s="192"/>
      <c r="K117" s="192"/>
      <c r="L117" s="192"/>
      <c r="M117" s="192"/>
      <c r="N117" s="192"/>
      <c r="O117" s="192"/>
      <c r="P117" s="192"/>
      <c r="Q117" s="192"/>
      <c r="R117" s="192"/>
      <c r="S117" s="192"/>
      <c r="T117" s="192"/>
      <c r="U117" s="192"/>
      <c r="V117" s="192"/>
      <c r="W117" s="192"/>
      <c r="X117" s="192"/>
      <c r="Y117" s="192"/>
      <c r="Z117" s="192"/>
      <c r="AA117" s="192"/>
      <c r="AB117" s="192"/>
      <c r="AC117" s="192"/>
      <c r="AD117" s="192"/>
      <c r="AE117" s="192"/>
    </row>
    <row r="118" ht="20" customHeight="1">
      <c r="B118" s="203" t="inlineStr">
        <is>
          <t xml:space="preserve">·   La influencia no es causalidad: el método ordena, no demuestra.</t>
        </is>
      </c>
      <c r="C118" s="203"/>
      <c r="D118" s="203"/>
      <c r="E118" s="203"/>
      <c r="F118" s="203"/>
      <c r="G118" s="203"/>
      <c r="H118" s="203"/>
      <c r="I118" s="203"/>
      <c r="J118" s="203"/>
      <c r="K118" s="203"/>
      <c r="L118" s="203"/>
      <c r="M118" s="203"/>
      <c r="N118" s="203"/>
      <c r="O118" s="203"/>
      <c r="P118" s="203"/>
      <c r="Q118" s="203"/>
      <c r="R118" s="203"/>
      <c r="S118" s="203"/>
      <c r="T118" s="203"/>
      <c r="U118" s="203"/>
      <c r="V118" s="203"/>
      <c r="W118" s="203"/>
      <c r="X118" s="203"/>
      <c r="Y118" s="203"/>
      <c r="Z118" s="203"/>
      <c r="AA118" s="203"/>
      <c r="AB118" s="203"/>
      <c r="AC118" s="203"/>
      <c r="AD118" s="203"/>
      <c r="AE118" s="203"/>
    </row>
    <row r="119" ht="20" customHeight="1">
      <c r="B119" s="203" t="inlineStr">
        <is>
          <t xml:space="preserve">·   El resultado depende de qué factores eligió, no solo del sistema.</t>
        </is>
      </c>
      <c r="C119" s="203"/>
      <c r="D119" s="203"/>
      <c r="E119" s="203"/>
      <c r="F119" s="203"/>
      <c r="G119" s="203"/>
      <c r="H119" s="203"/>
      <c r="I119" s="203"/>
      <c r="J119" s="203"/>
      <c r="K119" s="203"/>
      <c r="L119" s="203"/>
      <c r="M119" s="203"/>
      <c r="N119" s="203"/>
      <c r="O119" s="203"/>
      <c r="P119" s="203"/>
      <c r="Q119" s="203"/>
      <c r="R119" s="203"/>
      <c r="S119" s="203"/>
      <c r="T119" s="203"/>
      <c r="U119" s="203"/>
      <c r="V119" s="203"/>
      <c r="W119" s="203"/>
      <c r="X119" s="203"/>
      <c r="Y119" s="203"/>
      <c r="Z119" s="203"/>
      <c r="AA119" s="203"/>
      <c r="AB119" s="203"/>
      <c r="AC119" s="203"/>
      <c r="AD119" s="203"/>
      <c r="AE119" s="203"/>
    </row>
    <row r="120" ht="20" customHeight="1">
      <c r="B120" s="203" t="inlineStr">
        <is>
          <t xml:space="preserve">·   Refleja el juicio del panel, no una medición del mundo real.</t>
        </is>
      </c>
      <c r="C120" s="203"/>
      <c r="D120" s="203"/>
      <c r="E120" s="203"/>
      <c r="F120" s="203"/>
      <c r="G120" s="203"/>
      <c r="H120" s="203"/>
      <c r="I120" s="203"/>
      <c r="J120" s="203"/>
      <c r="K120" s="203"/>
      <c r="L120" s="203"/>
      <c r="M120" s="203"/>
      <c r="N120" s="203"/>
      <c r="O120" s="203"/>
      <c r="P120" s="203"/>
      <c r="Q120" s="203"/>
      <c r="R120" s="203"/>
      <c r="S120" s="203"/>
      <c r="T120" s="203"/>
      <c r="U120" s="203"/>
      <c r="V120" s="203"/>
      <c r="W120" s="203"/>
      <c r="X120" s="203"/>
      <c r="Y120" s="203"/>
      <c r="Z120" s="203"/>
      <c r="AA120" s="203"/>
      <c r="AB120" s="203"/>
      <c r="AC120" s="203"/>
      <c r="AD120" s="203"/>
      <c r="AE120" s="203"/>
    </row>
    <row r="122" ht="10" customHeight="1">
      <c r="B122" s="204"/>
      <c r="C122" s="204"/>
      <c r="D122" s="204"/>
      <c r="E122" s="204"/>
      <c r="F122" s="204"/>
      <c r="G122" s="204"/>
      <c r="H122" s="204"/>
      <c r="I122" s="204"/>
      <c r="J122" s="204"/>
      <c r="K122" s="204"/>
      <c r="L122" s="204"/>
      <c r="M122" s="204"/>
      <c r="N122" s="204"/>
      <c r="O122" s="204"/>
      <c r="P122" s="204"/>
      <c r="Q122" s="204"/>
      <c r="R122" s="204"/>
      <c r="S122" s="204"/>
      <c r="T122" s="204"/>
      <c r="U122" s="204"/>
      <c r="V122" s="204"/>
      <c r="W122" s="204"/>
      <c r="X122" s="204"/>
      <c r="Y122" s="204"/>
      <c r="Z122" s="204"/>
      <c r="AA122" s="204"/>
      <c r="AB122" s="204"/>
      <c r="AC122" s="204"/>
      <c r="AD122" s="204"/>
      <c r="AE122" s="204"/>
    </row>
    <row r="123" ht="18" customHeight="1">
      <c r="B123" s="192" t="inlineStr">
        <is>
          <t xml:space="preserve">YA ESTÁ HECHO</t>
        </is>
      </c>
      <c r="D123" s="192" t="inlineStr">
        <is>
          <t xml:space="preserve">AHORA TOCA</t>
        </is>
      </c>
      <c r="F123" s="192" t="inlineStr">
        <is>
          <t xml:space="preserve">LE QUEDA</t>
        </is>
      </c>
    </row>
    <row r="124" ht="40" customHeight="1">
      <c r="B124" s="201">
        <f>"Ha leído la interpretación de sus "&amp;Var_N&amp;" factores."</f>
      </c>
      <c r="D124" s="201">
        <f>"Revisar qué puntos del estudio merecen una segunda mirada."</f>
      </c>
      <c r="F124" s="201">
        <f>"Dos pasos. Quince minutos."</f>
      </c>
    </row>
    <row r="126" ht="32" customHeight="1">
      <c r="B126" s="175" t="inlineStr">
        <is>
          <t xml:space="preserve">CONTINUAR AL PASO 6   ▶</t>
        </is>
      </c>
      <c r="C126" s="175"/>
      <c r="D126" s="175"/>
    </row>
  </sheetData>
  <sheetProtection password="CD7E" sheet="1" formatCells="0" formatColumns="0" formatRows="0" insertRows="0"/>
  <mergeCells count="316">
    <mergeCell ref="B1:O1"/>
    <mergeCell ref="B2:E2"/>
    <mergeCell ref="F2:I2"/>
    <mergeCell ref="J2:M2"/>
    <mergeCell ref="N2:Q2"/>
    <mergeCell ref="R2:U2"/>
    <mergeCell ref="V2:Y2"/>
    <mergeCell ref="Z2:AA2"/>
    <mergeCell ref="AB2:AE2"/>
    <mergeCell ref="B3:AE3"/>
    <mergeCell ref="B4:AE4"/>
    <mergeCell ref="B5:AE5"/>
    <mergeCell ref="B7:AE7"/>
    <mergeCell ref="B8:AE8"/>
    <mergeCell ref="B10:AE10"/>
    <mergeCell ref="B11:AE11"/>
    <mergeCell ref="B12:AE12"/>
    <mergeCell ref="B14:AE14"/>
    <mergeCell ref="B15:G15"/>
    <mergeCell ref="B16:G16"/>
    <mergeCell ref="H15:M15"/>
    <mergeCell ref="H16:M16"/>
    <mergeCell ref="N15:S15"/>
    <mergeCell ref="N16:S16"/>
    <mergeCell ref="T15:Y15"/>
    <mergeCell ref="T16:Y16"/>
    <mergeCell ref="Z15:AE15"/>
    <mergeCell ref="Z16:AE16"/>
    <mergeCell ref="B18:AE18"/>
    <mergeCell ref="B19:AE19"/>
    <mergeCell ref="C20:K20"/>
    <mergeCell ref="L20:T20"/>
    <mergeCell ref="C33:K33"/>
    <mergeCell ref="L33:Q33"/>
    <mergeCell ref="R33:AE33"/>
    <mergeCell ref="B35:AE35"/>
    <mergeCell ref="B36:G36"/>
    <mergeCell ref="H36:I36"/>
    <mergeCell ref="J36:AE36"/>
    <mergeCell ref="B37:G37"/>
    <mergeCell ref="H37:I37"/>
    <mergeCell ref="J37:AE37"/>
    <mergeCell ref="B38:G38"/>
    <mergeCell ref="H38:I38"/>
    <mergeCell ref="J38:AE38"/>
    <mergeCell ref="B39:G39"/>
    <mergeCell ref="H39:I39"/>
    <mergeCell ref="J39:AE39"/>
    <mergeCell ref="B40:G40"/>
    <mergeCell ref="H40:I40"/>
    <mergeCell ref="J40:AE40"/>
    <mergeCell ref="B42:AE42"/>
    <mergeCell ref="B43:O43"/>
    <mergeCell ref="Q43:AE43"/>
    <mergeCell ref="C44:L44"/>
    <mergeCell ref="M44:O44"/>
    <mergeCell ref="R44:AA44"/>
    <mergeCell ref="AB44:AE44"/>
    <mergeCell ref="C45:L45"/>
    <mergeCell ref="M45:O45"/>
    <mergeCell ref="R45:AA45"/>
    <mergeCell ref="AB45:AE45"/>
    <mergeCell ref="C46:L46"/>
    <mergeCell ref="M46:O46"/>
    <mergeCell ref="R46:AA46"/>
    <mergeCell ref="AB46:AE46"/>
    <mergeCell ref="C47:L47"/>
    <mergeCell ref="M47:O47"/>
    <mergeCell ref="R47:AA47"/>
    <mergeCell ref="AB47:AE47"/>
    <mergeCell ref="C48:L48"/>
    <mergeCell ref="M48:O48"/>
    <mergeCell ref="R48:AA48"/>
    <mergeCell ref="AB48:AE48"/>
    <mergeCell ref="C49:L49"/>
    <mergeCell ref="M49:O49"/>
    <mergeCell ref="R49:AA49"/>
    <mergeCell ref="AB49:AE49"/>
    <mergeCell ref="B51:AE51"/>
    <mergeCell ref="B52:AE52"/>
    <mergeCell ref="B53:M53"/>
    <mergeCell ref="N53:P53"/>
    <mergeCell ref="Q53:S53"/>
    <mergeCell ref="T53:AE53"/>
    <mergeCell ref="B54:M54"/>
    <mergeCell ref="N54:P54"/>
    <mergeCell ref="Q54:S54"/>
    <mergeCell ref="T54:AE54"/>
    <mergeCell ref="B55:M55"/>
    <mergeCell ref="N55:P55"/>
    <mergeCell ref="Q55:S55"/>
    <mergeCell ref="T55:AE55"/>
    <mergeCell ref="B56:M56"/>
    <mergeCell ref="N56:P56"/>
    <mergeCell ref="Q56:S56"/>
    <mergeCell ref="T56:AE56"/>
    <mergeCell ref="B57:M57"/>
    <mergeCell ref="N57:P57"/>
    <mergeCell ref="Q57:S57"/>
    <mergeCell ref="T57:AE57"/>
    <mergeCell ref="B58:M58"/>
    <mergeCell ref="N58:P58"/>
    <mergeCell ref="Q58:S58"/>
    <mergeCell ref="T58:AE58"/>
    <mergeCell ref="B59:M59"/>
    <mergeCell ref="N59:P59"/>
    <mergeCell ref="Q59:S59"/>
    <mergeCell ref="T59:AE59"/>
    <mergeCell ref="B60:M60"/>
    <mergeCell ref="N60:P60"/>
    <mergeCell ref="Q60:S60"/>
    <mergeCell ref="T60:AE60"/>
    <mergeCell ref="B61:M61"/>
    <mergeCell ref="N61:P61"/>
    <mergeCell ref="Q61:S61"/>
    <mergeCell ref="T61:AE61"/>
    <mergeCell ref="B62:M62"/>
    <mergeCell ref="N62:P62"/>
    <mergeCell ref="Q62:S62"/>
    <mergeCell ref="T62:AE62"/>
    <mergeCell ref="B63:M63"/>
    <mergeCell ref="N63:P63"/>
    <mergeCell ref="Q63:S63"/>
    <mergeCell ref="T63:AE63"/>
    <mergeCell ref="B64:M64"/>
    <mergeCell ref="N64:P64"/>
    <mergeCell ref="Q64:S64"/>
    <mergeCell ref="T64:AE64"/>
    <mergeCell ref="B65:M65"/>
    <mergeCell ref="N65:P65"/>
    <mergeCell ref="Q65:S65"/>
    <mergeCell ref="T65:AE65"/>
    <mergeCell ref="B66:M66"/>
    <mergeCell ref="N66:P66"/>
    <mergeCell ref="Q66:S66"/>
    <mergeCell ref="T66:AE66"/>
    <mergeCell ref="B67:M67"/>
    <mergeCell ref="N67:P67"/>
    <mergeCell ref="Q67:S67"/>
    <mergeCell ref="T67:AE67"/>
    <mergeCell ref="B68:M68"/>
    <mergeCell ref="N68:P68"/>
    <mergeCell ref="Q68:S68"/>
    <mergeCell ref="T68:AE68"/>
    <mergeCell ref="B69:M69"/>
    <mergeCell ref="N69:P69"/>
    <mergeCell ref="Q69:S69"/>
    <mergeCell ref="T69:AE69"/>
    <mergeCell ref="B70:M70"/>
    <mergeCell ref="N70:P70"/>
    <mergeCell ref="Q70:S70"/>
    <mergeCell ref="T70:AE70"/>
    <mergeCell ref="B71:M71"/>
    <mergeCell ref="N71:P71"/>
    <mergeCell ref="Q71:S71"/>
    <mergeCell ref="T71:AE71"/>
    <mergeCell ref="B72:M72"/>
    <mergeCell ref="N72:P72"/>
    <mergeCell ref="Q72:S72"/>
    <mergeCell ref="T72:AE72"/>
    <mergeCell ref="B73:M73"/>
    <mergeCell ref="N73:P73"/>
    <mergeCell ref="Q73:S73"/>
    <mergeCell ref="T73:AE73"/>
    <mergeCell ref="B74:M74"/>
    <mergeCell ref="N74:P74"/>
    <mergeCell ref="Q74:S74"/>
    <mergeCell ref="T74:AE74"/>
    <mergeCell ref="B75:M75"/>
    <mergeCell ref="N75:P75"/>
    <mergeCell ref="Q75:S75"/>
    <mergeCell ref="T75:AE75"/>
    <mergeCell ref="B76:M76"/>
    <mergeCell ref="N76:P76"/>
    <mergeCell ref="Q76:S76"/>
    <mergeCell ref="T76:AE76"/>
    <mergeCell ref="B77:M77"/>
    <mergeCell ref="N77:P77"/>
    <mergeCell ref="Q77:S77"/>
    <mergeCell ref="T77:AE77"/>
    <mergeCell ref="B78:M78"/>
    <mergeCell ref="N78:P78"/>
    <mergeCell ref="Q78:S78"/>
    <mergeCell ref="T78:AE78"/>
    <mergeCell ref="B80:AE80"/>
    <mergeCell ref="B81:K81"/>
    <mergeCell ref="L81:N81"/>
    <mergeCell ref="O81:Q81"/>
    <mergeCell ref="R81:AE81"/>
    <mergeCell ref="B82:K82"/>
    <mergeCell ref="L82:N82"/>
    <mergeCell ref="O82:Q82"/>
    <mergeCell ref="R82:AE82"/>
    <mergeCell ref="B83:K83"/>
    <mergeCell ref="L83:N83"/>
    <mergeCell ref="O83:Q83"/>
    <mergeCell ref="R83:AE83"/>
    <mergeCell ref="B84:K84"/>
    <mergeCell ref="L84:N84"/>
    <mergeCell ref="O84:Q84"/>
    <mergeCell ref="R84:AE84"/>
    <mergeCell ref="B85:K85"/>
    <mergeCell ref="L85:N85"/>
    <mergeCell ref="O85:Q85"/>
    <mergeCell ref="R85:AE85"/>
    <mergeCell ref="B86:K86"/>
    <mergeCell ref="L86:N86"/>
    <mergeCell ref="O86:Q86"/>
    <mergeCell ref="R86:AE86"/>
    <mergeCell ref="B87:K87"/>
    <mergeCell ref="L87:N87"/>
    <mergeCell ref="O87:Q87"/>
    <mergeCell ref="R87:AE87"/>
    <mergeCell ref="B88:K88"/>
    <mergeCell ref="L88:N88"/>
    <mergeCell ref="O88:Q88"/>
    <mergeCell ref="R88:AE88"/>
    <mergeCell ref="B89:K89"/>
    <mergeCell ref="L89:N89"/>
    <mergeCell ref="O89:Q89"/>
    <mergeCell ref="R89:AE89"/>
    <mergeCell ref="B90:K90"/>
    <mergeCell ref="L90:N90"/>
    <mergeCell ref="O90:Q90"/>
    <mergeCell ref="R90:AE90"/>
    <mergeCell ref="B91:K91"/>
    <mergeCell ref="L91:N91"/>
    <mergeCell ref="O91:Q91"/>
    <mergeCell ref="R91:AE91"/>
    <mergeCell ref="B92:K92"/>
    <mergeCell ref="L92:N92"/>
    <mergeCell ref="O92:Q92"/>
    <mergeCell ref="R92:AE92"/>
    <mergeCell ref="B93:K93"/>
    <mergeCell ref="L93:N93"/>
    <mergeCell ref="O93:Q93"/>
    <mergeCell ref="R93:AE93"/>
    <mergeCell ref="B94:K94"/>
    <mergeCell ref="L94:N94"/>
    <mergeCell ref="O94:Q94"/>
    <mergeCell ref="R94:AE94"/>
    <mergeCell ref="B95:K95"/>
    <mergeCell ref="L95:N95"/>
    <mergeCell ref="O95:Q95"/>
    <mergeCell ref="R95:AE95"/>
    <mergeCell ref="B96:K96"/>
    <mergeCell ref="L96:N96"/>
    <mergeCell ref="O96:Q96"/>
    <mergeCell ref="R96:AE96"/>
    <mergeCell ref="B97:K97"/>
    <mergeCell ref="L97:N97"/>
    <mergeCell ref="O97:Q97"/>
    <mergeCell ref="R97:AE97"/>
    <mergeCell ref="B98:K98"/>
    <mergeCell ref="L98:N98"/>
    <mergeCell ref="O98:Q98"/>
    <mergeCell ref="R98:AE98"/>
    <mergeCell ref="B99:K99"/>
    <mergeCell ref="L99:N99"/>
    <mergeCell ref="O99:Q99"/>
    <mergeCell ref="R99:AE99"/>
    <mergeCell ref="B100:K100"/>
    <mergeCell ref="L100:N100"/>
    <mergeCell ref="O100:Q100"/>
    <mergeCell ref="R100:AE100"/>
    <mergeCell ref="B101:K101"/>
    <mergeCell ref="L101:N101"/>
    <mergeCell ref="O101:Q101"/>
    <mergeCell ref="R101:AE101"/>
    <mergeCell ref="B102:K102"/>
    <mergeCell ref="L102:N102"/>
    <mergeCell ref="O102:Q102"/>
    <mergeCell ref="R102:AE102"/>
    <mergeCell ref="B103:K103"/>
    <mergeCell ref="L103:N103"/>
    <mergeCell ref="O103:Q103"/>
    <mergeCell ref="R103:AE103"/>
    <mergeCell ref="B104:K104"/>
    <mergeCell ref="L104:N104"/>
    <mergeCell ref="O104:Q104"/>
    <mergeCell ref="R104:AE104"/>
    <mergeCell ref="B105:K105"/>
    <mergeCell ref="L105:N105"/>
    <mergeCell ref="O105:Q105"/>
    <mergeCell ref="R105:AE105"/>
    <mergeCell ref="B106:K106"/>
    <mergeCell ref="L106:N106"/>
    <mergeCell ref="O106:Q106"/>
    <mergeCell ref="R106:AE106"/>
    <mergeCell ref="B108:AE108"/>
    <mergeCell ref="C109:AE109"/>
    <mergeCell ref="C110:AE110"/>
    <mergeCell ref="C111:AE111"/>
    <mergeCell ref="C112:AE112"/>
    <mergeCell ref="C113:AE113"/>
    <mergeCell ref="C114:AE114"/>
    <mergeCell ref="B115:AE115"/>
    <mergeCell ref="B117:AE117"/>
    <mergeCell ref="B118:AE118"/>
    <mergeCell ref="B119:AE119"/>
    <mergeCell ref="B120:AE120"/>
    <mergeCell ref="B123:C123"/>
    <mergeCell ref="B124:C124"/>
    <mergeCell ref="D123:E123"/>
    <mergeCell ref="D124:E124"/>
    <mergeCell ref="F123:G123"/>
    <mergeCell ref="F124:G124"/>
    <mergeCell ref="B126:D126"/>
    <mergeCell ref="B9:AE9"/>
    <mergeCell ref="B13:AE13"/>
    <mergeCell ref="B17:AE17"/>
    <mergeCell ref="B34:AE34"/>
    <mergeCell ref="B41:AE41"/>
    <mergeCell ref="B50:AE50"/>
    <mergeCell ref="B79:AE79"/>
    <mergeCell ref="B107:AE107"/>
  </mergeCells>
  <hyperlinks>
    <hyperlink ref="B2" location="'01 · Encuadre'!A1" display="Encuadre"/>
    <hyperlink ref="F2" location="'02 · Variables'!A1" display="Variables"/>
    <hyperlink ref="J2" location="'03 · Criterio'!A1" display="Criterio"/>
    <hyperlink ref="N2" location="'04 · Matriz'!A1" display="Matriz"/>
    <hyperlink ref="R2" location="'05 · Resultado'!A1" display="Resultado"/>
    <hyperlink ref="V2" location="'Comprobación'!A1" display="Revisión"/>
    <hyperlink ref="Z2" location="'06 · Informe'!A1" display="Informe"/>
    <hyperlink ref="AB2" location="Inicio!A1" display="Inicio"/>
    <hyperlink ref="B126" location="'Comprobación'!A1" display="CONTINUAR AL PASO 6   ▶"/>
  </hyperlinks>
  <pageMargins left="0.4" right="0.4" top="0.5" bottom="0.5" header="0.3" footer="0.3"/>
  <pageSetup paperSize="9" scale="100" fitToWidth="1" fitToHeight="0" orientation="landscape"/>
  <headerFooter>
    <oddFooter>&amp;L&amp;"Aptos,Regular"&amp;8&amp;K94A0AEIntelKIT · MICMAC Essentials v1.0&amp;R&amp;"Aptos,Regular"&amp;8&amp;K94A0AEPágina &amp;P de &amp;N</oddFooter>
  </headerFooter>
</worksheet>
</file>

<file path=xl/worksheets/sheet27.xml><?xml version="1.0" encoding="utf-8"?>
<worksheet xmlns="http://schemas.openxmlformats.org/spreadsheetml/2006/main" xmlns:r="http://schemas.openxmlformats.org/officeDocument/2006/relationships">
  <sheetPr>
    <tabColor rgb="FF3A3F9E"/>
    <pageSetUpPr fitToPage="1"/>
  </sheetPr>
  <dimension ref="A1:AE70"/>
  <sheetViews>
    <sheetView showGridLines="0" zoomScaleNormal="100" workbookViewId="0">
      <pane ySplit="6" topLeftCell="A7" activePane="bottomLeft" state="frozen"/>
    </sheetView>
  </sheetViews>
  <sheetFormatPr baseColWidth="10" defaultRowHeight="15"/>
  <cols>
    <col min="1" max="1" width="3" customWidth="1"/>
    <col min="2" max="2" width="3.4" customWidth="1"/>
    <col min="3" max="3" width="3.4" customWidth="1"/>
    <col min="4" max="4" width="3.4" customWidth="1"/>
    <col min="5" max="5" width="3.4" customWidth="1"/>
    <col min="6" max="6" width="3.4" customWidth="1"/>
    <col min="7" max="7" width="3.4" customWidth="1"/>
    <col min="8" max="8" width="3.4" customWidth="1"/>
    <col min="9" max="9" width="3.4" customWidth="1"/>
    <col min="10" max="10" width="3.4" customWidth="1"/>
    <col min="11" max="11" width="3.4" customWidth="1"/>
    <col min="12" max="12" width="3.4" customWidth="1"/>
    <col min="13" max="13" width="3.4" customWidth="1"/>
    <col min="14" max="14" width="3.4" customWidth="1"/>
    <col min="15" max="15" width="3.4" customWidth="1"/>
    <col min="16" max="16" width="3.4" customWidth="1"/>
    <col min="17" max="17" width="3.4" customWidth="1"/>
    <col min="18" max="18" width="3.4" customWidth="1"/>
    <col min="19" max="19" width="3.4" customWidth="1"/>
    <col min="20" max="20" width="3.4" customWidth="1"/>
    <col min="21" max="21" width="3.4" customWidth="1"/>
    <col min="22" max="22" width="3.4" customWidth="1"/>
    <col min="23" max="23" width="3.4" customWidth="1"/>
    <col min="24" max="24" width="3.4" customWidth="1"/>
    <col min="25" max="25" width="3.4" customWidth="1"/>
    <col min="26" max="26" width="3.4" customWidth="1"/>
    <col min="27" max="27" width="3.4" customWidth="1"/>
    <col min="28" max="28" width="3.4" customWidth="1"/>
    <col min="29" max="29" width="3.4" customWidth="1"/>
    <col min="30" max="30" width="3.4" customWidth="1"/>
    <col min="31" max="31" width="3.4" customWidth="1"/>
    <col min="32" max="33" width="3" customWidth="1"/>
    <col min="32" max="36" width="3" customWidth="1" hidden="1"/>
  </cols>
  <sheetData>
    <row r="1" ht="28" customHeight="1">
      <c r="A1" s="157"/>
      <c r="B1" s="157" t="inlineStr">
        <is>
          <t xml:space="preserve">MICMAC  ESSENTIALS</t>
        </is>
      </c>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8" t="inlineStr">
        <is>
          <t xml:space="preserve">Paso 7 de 7</t>
        </is>
      </c>
    </row>
    <row r="2" ht="24" customHeight="1">
      <c r="B2" s="161">
        <f>IF(COUNTA('01 · Encuadre'!$B$10,'01 · Encuadre'!$B$14,'01 · Encuadre'!$B$18,'01 · Encuadre'!$B$22)=4,"✓ 1 · Encuadre","1 · Encuadre")</f>
      </c>
      <c r="C2" s="162"/>
      <c r="D2" s="162"/>
      <c r="E2" s="162"/>
      <c r="F2" s="161">
        <f>IF(COUNTA('02 · Variables'!$C$7:$C$31)&gt;=8,"✓ 2 · Variables","2 · Variables")</f>
      </c>
      <c r="G2" s="162"/>
      <c r="H2" s="162"/>
      <c r="I2" s="162"/>
      <c r="J2" s="161">
        <f>IF(COUNTA('03 · Criterio'!$D$9:$D$23)=8,"✓ 3 · Criterio","3 · Criterio")</f>
      </c>
      <c r="K2" s="162"/>
      <c r="L2" s="162"/>
      <c r="M2" s="162"/>
      <c r="N2" s="161">
        <f>IF((SUMPRODUCT((ROW('04 · Matriz'!$C$6:$AA$30)-5&lt;=Var_N)*(COLUMN('04 · Matriz'!$C$6:$AA$30)-2&lt;=Var_N)*('04 · Matriz'!$C$6:$AA$30&lt;&gt;""))-Var_N&gt;=Ind_Preguntas),"✓ 4 · Matriz","4 · Matriz")</f>
      </c>
      <c r="O2" s="162"/>
      <c r="P2" s="162"/>
      <c r="Q2" s="162"/>
      <c r="R2" s="161">
        <f>IF((SUMPRODUCT((ROW('04 · Matriz'!$C$6:$AA$30)-5&lt;=Var_N)*(COLUMN('04 · Matriz'!$C$6:$AA$30)-2&lt;=Var_N)*('04 · Matriz'!$C$6:$AA$30&lt;&gt;""))-Var_N&gt;=Ind_Preguntas),"✓ 5 · Resultado","5 · Resultado")</f>
      </c>
      <c r="S2" s="162"/>
      <c r="T2" s="162"/>
      <c r="U2" s="162"/>
      <c r="V2" s="161">
        <f>IF((SUMPRODUCT((ROW('04 · Matriz'!$C$6:$AA$30)-5&lt;=Var_N)*(COLUMN('04 · Matriz'!$C$6:$AA$30)-2&lt;=Var_N)*('04 · Matriz'!$C$6:$AA$30&lt;&gt;""))-Var_N&gt;=Ind_Preguntas),"✓ 6 · Revisión","6 · Revisión")</f>
      </c>
      <c r="W2" s="162"/>
      <c r="X2" s="162"/>
      <c r="Y2" s="162"/>
      <c r="Z2" s="160" t="inlineStr">
        <is>
          <t xml:space="preserve"> 7 · Informe </t>
        </is>
      </c>
      <c r="AA2" s="162"/>
      <c r="AB2" s="162" t="inlineStr">
        <is>
          <t xml:space="preserve">◀ Inicio</t>
        </is>
      </c>
      <c r="AC2" s="162"/>
      <c r="AD2" s="162"/>
      <c r="AE2" s="162"/>
    </row>
    <row r="3" ht="38" customHeight="1">
      <c r="B3" s="163" t="inlineStr">
        <is>
          <t xml:space="preserve">Su informe está listo</t>
        </is>
      </c>
    </row>
    <row r="4" ht="24" customHeight="1">
      <c r="B4" s="195" t="inlineStr">
        <is>
          <t xml:space="preserve">Compuesto con los datos de su estudio. Revise la conclusión y añada lo que quiera.</t>
        </is>
      </c>
    </row>
    <row r="5" ht="30" customHeight="1">
      <c r="B5" s="199" t="inlineStr">
        <is>
          <t xml:space="preserve">Por qué importa: esto es lo que entregará. Todo está redactado con sus propias cifras; puede usarlo tal cual o ajustarlo.</t>
        </is>
      </c>
    </row>
    <row r="6" ht="10" customHeight="1">
      <c r="B6" s="204"/>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row>
    <row r="8" ht="18" customHeight="1">
      <c r="B8" s="211" t="inlineStr">
        <is>
          <t xml:space="preserve">ANÁLISIS ESTRUCTURAL MICMAC  ·  INFORME DE RESULTADOS</t>
        </is>
      </c>
      <c r="C8" s="211"/>
      <c r="D8" s="211"/>
      <c r="E8" s="211"/>
      <c r="F8" s="211"/>
      <c r="G8" s="211"/>
      <c r="H8" s="211"/>
      <c r="I8" s="211"/>
      <c r="J8" s="211"/>
      <c r="K8" s="211"/>
      <c r="L8" s="211"/>
      <c r="M8" s="211"/>
      <c r="N8" s="211"/>
      <c r="O8" s="211"/>
      <c r="P8" s="211"/>
      <c r="Q8" s="211"/>
      <c r="R8" s="211"/>
      <c r="S8" s="211"/>
      <c r="T8" s="211"/>
      <c r="U8" s="211"/>
      <c r="V8" s="211"/>
      <c r="W8" s="211"/>
      <c r="X8" s="211"/>
      <c r="Y8" s="211"/>
      <c r="Z8" s="211"/>
      <c r="AA8" s="211"/>
      <c r="AB8" s="211"/>
      <c r="AC8" s="211"/>
      <c r="AD8" s="211"/>
      <c r="AE8" s="211"/>
      <c r="AF8" s="191">
        <f>IF(1&gt;Var_N,"",COUNTIF(Res_Motricidad,"&gt;"&amp;INDEX(Res_Motricidad,1))+COUNTIF(OFFSET(Res_Motricidad,0,0,1,1),INDEX(Res_Motricidad,1)))</f>
      </c>
      <c r="AG8" s="191">
        <f>IF(1&gt;Var_N,"",COUNTIF(Ind_Motricidad,"&gt;"&amp;INDEX(Ind_Motricidad,1))+COUNTIF(OFFSET(Ind_Motricidad,0,0,1,1),INDEX(Ind_Motricidad,1)))</f>
      </c>
      <c r="AH8" s="191">
        <f>IF(1&gt;Var_N,"",COUNTIF(Res_Motricidad,"&gt;"&amp;INDEX(Res_Motricidad,1))+COUNTIF(OFFSET(Res_Motricidad,0,0,1,1),INDEX(Res_Motricidad,1)))</f>
      </c>
      <c r="AI8" s="191">
        <f>IF(1&gt;Var_N,0,IF(INDEX(Res_RangoMot,1)-INDEX(Ind_RangoMot,1)&gt;=2,1,0))</f>
      </c>
      <c r="AJ8" s="191">
        <f>IF($AI$8=0,"",SUM($AI$8:$AI$8))</f>
      </c>
    </row>
    <row r="9" ht="40" customHeight="1">
      <c r="B9" s="209">
        <f>IF('01 · Encuadre'!$B$10="","(sin título)",'01 · Encuadre'!$B$10)</f>
      </c>
      <c r="C9" s="209"/>
      <c r="D9" s="209"/>
      <c r="E9" s="209"/>
      <c r="F9" s="209"/>
      <c r="G9" s="209"/>
      <c r="H9" s="209"/>
      <c r="I9" s="209"/>
      <c r="J9" s="209"/>
      <c r="K9" s="209"/>
      <c r="L9" s="209"/>
      <c r="M9" s="209"/>
      <c r="N9" s="209"/>
      <c r="O9" s="209"/>
      <c r="P9" s="209"/>
      <c r="Q9" s="209"/>
      <c r="R9" s="209"/>
      <c r="S9" s="209"/>
      <c r="T9" s="209"/>
      <c r="U9" s="209"/>
      <c r="V9" s="209"/>
      <c r="W9" s="209"/>
      <c r="X9" s="209"/>
      <c r="Y9" s="209"/>
      <c r="Z9" s="209"/>
      <c r="AA9" s="209"/>
      <c r="AB9" s="209"/>
      <c r="AC9" s="209"/>
      <c r="AD9" s="209"/>
      <c r="AE9" s="209"/>
      <c r="AF9" s="191">
        <f>IF(2&gt;Var_N,"",COUNTIF(Res_Motricidad,"&gt;"&amp;INDEX(Res_Motricidad,2))+COUNTIF(OFFSET(Res_Motricidad,0,0,2,1),INDEX(Res_Motricidad,2)))</f>
      </c>
      <c r="AG9" s="191">
        <f>IF(2&gt;Var_N,"",COUNTIF(Ind_Motricidad,"&gt;"&amp;INDEX(Ind_Motricidad,2))+COUNTIF(OFFSET(Ind_Motricidad,0,0,2,1),INDEX(Ind_Motricidad,2)))</f>
      </c>
      <c r="AH9" s="191">
        <f>IF(2&gt;Var_N,"",COUNTIF(Res_Motricidad,"&gt;"&amp;INDEX(Res_Motricidad,2))+COUNTIF(OFFSET(Res_Motricidad,0,0,2,1),INDEX(Res_Motricidad,2)))</f>
      </c>
      <c r="AI9" s="191">
        <f>IF(2&gt;Var_N,0,IF(INDEX(Res_RangoMot,2)-INDEX(Ind_RangoMot,2)&gt;=2,1,0))</f>
      </c>
      <c r="AJ9" s="191">
        <f>IF($AI$9=0,"",SUM($AI$8:$AI$9))</f>
      </c>
    </row>
    <row r="10" ht="26" customHeight="1">
      <c r="B10" s="210">
        <f>IF('01 · Encuadre'!$B$14="","",'01 · Encuadre'!$B$14)</f>
      </c>
      <c r="C10" s="210"/>
      <c r="D10" s="210"/>
      <c r="E10" s="210"/>
      <c r="F10" s="210"/>
      <c r="G10" s="210"/>
      <c r="H10" s="210"/>
      <c r="I10" s="210"/>
      <c r="J10" s="210"/>
      <c r="K10" s="210"/>
      <c r="L10" s="210"/>
      <c r="M10" s="210"/>
      <c r="N10" s="210"/>
      <c r="O10" s="210"/>
      <c r="P10" s="210"/>
      <c r="Q10" s="210"/>
      <c r="R10" s="210"/>
      <c r="S10" s="210"/>
      <c r="T10" s="210"/>
      <c r="U10" s="210"/>
      <c r="V10" s="210"/>
      <c r="W10" s="210"/>
      <c r="X10" s="210"/>
      <c r="Y10" s="210"/>
      <c r="Z10" s="210"/>
      <c r="AA10" s="210"/>
      <c r="AB10" s="210"/>
      <c r="AC10" s="210"/>
      <c r="AD10" s="210"/>
      <c r="AE10" s="210"/>
      <c r="AF10" s="191">
        <f>IF(3&gt;Var_N,"",COUNTIF(Res_Motricidad,"&gt;"&amp;INDEX(Res_Motricidad,3))+COUNTIF(OFFSET(Res_Motricidad,0,0,3,1),INDEX(Res_Motricidad,3)))</f>
      </c>
      <c r="AG10" s="191">
        <f>IF(3&gt;Var_N,"",COUNTIF(Ind_Motricidad,"&gt;"&amp;INDEX(Ind_Motricidad,3))+COUNTIF(OFFSET(Ind_Motricidad,0,0,3,1),INDEX(Ind_Motricidad,3)))</f>
      </c>
      <c r="AH10" s="191">
        <f>IF(3&gt;Var_N,"",COUNTIF(Res_Motricidad,"&gt;"&amp;INDEX(Res_Motricidad,3))+COUNTIF(OFFSET(Res_Motricidad,0,0,3,1),INDEX(Res_Motricidad,3)))</f>
      </c>
      <c r="AI10" s="191">
        <f>IF(3&gt;Var_N,0,IF(INDEX(Res_RangoMot,3)-INDEX(Ind_RangoMot,3)&gt;=2,1,0))</f>
      </c>
      <c r="AJ10" s="191">
        <f>IF($AI$10=0,"",SUM($AI$8:$AI$10))</f>
      </c>
    </row>
    <row r="11" ht="22" customHeight="1">
      <c r="B11" s="203">
        <f>IF('01 · Encuadre'!$B$22="","",'01 · Encuadre'!$B$22)&amp;"   ·   "&amp;IF('01 · Encuadre'!$B$18="","",'01 · Encuadre'!$B$18)</f>
      </c>
      <c r="C11" s="203"/>
      <c r="D11" s="203"/>
      <c r="E11" s="203"/>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191">
        <f>IF(4&gt;Var_N,"",COUNTIF(Res_Motricidad,"&gt;"&amp;INDEX(Res_Motricidad,4))+COUNTIF(OFFSET(Res_Motricidad,0,0,4,1),INDEX(Res_Motricidad,4)))</f>
      </c>
      <c r="AG11" s="191">
        <f>IF(4&gt;Var_N,"",COUNTIF(Ind_Motricidad,"&gt;"&amp;INDEX(Ind_Motricidad,4))+COUNTIF(OFFSET(Ind_Motricidad,0,0,4,1),INDEX(Ind_Motricidad,4)))</f>
      </c>
      <c r="AH11" s="191">
        <f>IF(4&gt;Var_N,"",COUNTIF(Res_Motricidad,"&gt;"&amp;INDEX(Res_Motricidad,4))+COUNTIF(OFFSET(Res_Motricidad,0,0,4,1),INDEX(Res_Motricidad,4)))</f>
      </c>
      <c r="AI11" s="191">
        <f>IF(4&gt;Var_N,0,IF(INDEX(Res_RangoMot,4)-INDEX(Ind_RangoMot,4)&gt;=2,1,0))</f>
      </c>
      <c r="AJ11" s="191">
        <f>IF($AI$11=0,"",SUM($AI$8:$AI$11))</f>
      </c>
    </row>
    <row r="12" ht="10" customHeight="1">
      <c r="B12" s="213"/>
      <c r="C12" s="213"/>
      <c r="D12" s="213"/>
      <c r="E12" s="213"/>
      <c r="F12" s="213"/>
      <c r="G12" s="213"/>
      <c r="H12" s="213"/>
      <c r="I12" s="213"/>
      <c r="J12" s="213"/>
      <c r="K12" s="213"/>
      <c r="L12" s="213"/>
      <c r="M12" s="213"/>
      <c r="N12" s="213"/>
      <c r="O12" s="213"/>
      <c r="P12" s="213"/>
      <c r="Q12" s="213"/>
      <c r="R12" s="213"/>
      <c r="S12" s="213"/>
      <c r="T12" s="213"/>
      <c r="U12" s="213"/>
      <c r="V12" s="213"/>
      <c r="W12" s="213"/>
      <c r="X12" s="213"/>
      <c r="Y12" s="213"/>
      <c r="Z12" s="213"/>
      <c r="AA12" s="213"/>
      <c r="AB12" s="213"/>
      <c r="AC12" s="213"/>
      <c r="AD12" s="213"/>
      <c r="AE12" s="213"/>
      <c r="AF12" s="191">
        <f>IF(5&gt;Var_N,"",COUNTIF(Res_Motricidad,"&gt;"&amp;INDEX(Res_Motricidad,5))+COUNTIF(OFFSET(Res_Motricidad,0,0,5,1),INDEX(Res_Motricidad,5)))</f>
      </c>
      <c r="AG12" s="191">
        <f>IF(5&gt;Var_N,"",COUNTIF(Ind_Motricidad,"&gt;"&amp;INDEX(Ind_Motricidad,5))+COUNTIF(OFFSET(Ind_Motricidad,0,0,5,1),INDEX(Ind_Motricidad,5)))</f>
      </c>
      <c r="AH12" s="191">
        <f>IF(5&gt;Var_N,"",COUNTIF(Res_Motricidad,"&gt;"&amp;INDEX(Res_Motricidad,5))+COUNTIF(OFFSET(Res_Motricidad,0,0,5,1),INDEX(Res_Motricidad,5)))</f>
      </c>
      <c r="AI12" s="191">
        <f>IF(5&gt;Var_N,0,IF(INDEX(Res_RangoMot,5)-INDEX(Ind_RangoMot,5)&gt;=2,1,0))</f>
      </c>
      <c r="AJ12" s="191">
        <f>IF($AI$12=0,"",SUM($AI$8:$AI$12))</f>
      </c>
    </row>
    <row r="13">
      <c r="AF13" s="191">
        <f>IF(6&gt;Var_N,"",COUNTIF(Res_Motricidad,"&gt;"&amp;INDEX(Res_Motricidad,6))+COUNTIF(OFFSET(Res_Motricidad,0,0,6,1),INDEX(Res_Motricidad,6)))</f>
      </c>
      <c r="AG13" s="191">
        <f>IF(6&gt;Var_N,"",COUNTIF(Ind_Motricidad,"&gt;"&amp;INDEX(Ind_Motricidad,6))+COUNTIF(OFFSET(Ind_Motricidad,0,0,6,1),INDEX(Ind_Motricidad,6)))</f>
      </c>
      <c r="AH13" s="191">
        <f>IF(6&gt;Var_N,"",COUNTIF(Res_Motricidad,"&gt;"&amp;INDEX(Res_Motricidad,6))+COUNTIF(OFFSET(Res_Motricidad,0,0,6,1),INDEX(Res_Motricidad,6)))</f>
      </c>
      <c r="AI13" s="191">
        <f>IF(6&gt;Var_N,0,IF(INDEX(Res_RangoMot,6)-INDEX(Ind_RangoMot,6)&gt;=2,1,0))</f>
      </c>
      <c r="AJ13" s="191">
        <f>IF($AI$13=0,"",SUM($AI$8:$AI$13))</f>
      </c>
    </row>
    <row r="14" ht="18" customHeight="1">
      <c r="B14" s="192" t="inlineStr">
        <is>
          <t xml:space="preserve">1 · RESUMEN EJECUTIVO</t>
        </is>
      </c>
      <c r="C14" s="192"/>
      <c r="D14" s="192"/>
      <c r="E14" s="192"/>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1">
        <f>IF(7&gt;Var_N,"",COUNTIF(Res_Motricidad,"&gt;"&amp;INDEX(Res_Motricidad,7))+COUNTIF(OFFSET(Res_Motricidad,0,0,7,1),INDEX(Res_Motricidad,7)))</f>
      </c>
      <c r="AG14" s="191">
        <f>IF(7&gt;Var_N,"",COUNTIF(Ind_Motricidad,"&gt;"&amp;INDEX(Ind_Motricidad,7))+COUNTIF(OFFSET(Ind_Motricidad,0,0,7,1),INDEX(Ind_Motricidad,7)))</f>
      </c>
      <c r="AH14" s="191">
        <f>IF(7&gt;Var_N,"",COUNTIF(Res_Motricidad,"&gt;"&amp;INDEX(Res_Motricidad,7))+COUNTIF(OFFSET(Res_Motricidad,0,0,7,1),INDEX(Res_Motricidad,7)))</f>
      </c>
      <c r="AI14" s="191">
        <f>IF(7&gt;Var_N,0,IF(INDEX(Res_RangoMot,7)-INDEX(Ind_RangoMot,7)&gt;=2,1,0))</f>
      </c>
      <c r="AJ14" s="191">
        <f>IF($AI$14=0,"",SUM($AI$8:$AI$14))</f>
      </c>
    </row>
    <row r="15" ht="62" customHeight="1">
      <c r="B15" s="182">
        <f>IF(Var_N&lt;2,"","De los "&amp;Var_N&amp;" factores analizados, "&amp;COUNTIF(Res_Tipologia,"1 · Entrada / determinante")+COUNTIF(Res_Tipologia,"2 · Intermedia / de enlace")&amp;IF(COUNTIF(Res_Tipologia,"1 · Entrada / determinante")+COUNTIF(Res_Tipologia,"2 · Intermedia / de enlace")=1," gobierna"," gobiernan")&amp;" el sistema. El más determinante es "&amp;IFERROR(INDEX(Res_Nombre,MATCH(1,$AF$8:$AF$32,0)),"")&amp;". La densidad de la matriz es del "&amp;ROUND(Ind_Densidad*100,1)&amp;" %"&amp;IF(AND(Ind_Densidad&gt;=0.2,Ind_Densidad&lt;=0.25),", dentro de lo esperable.",", fuera del rango habitual.")&amp;" El estudio se basa en "&amp;Ind_NoNulas&amp;" relaciones de influencia sobre "&amp;Ind_Preguntas&amp;" pares posibles.")</f>
      </c>
      <c r="C15" s="182"/>
      <c r="D15" s="182"/>
      <c r="E15" s="182"/>
      <c r="F15" s="182"/>
      <c r="G15" s="182"/>
      <c r="H15" s="182"/>
      <c r="I15" s="182"/>
      <c r="J15" s="182"/>
      <c r="K15" s="182"/>
      <c r="L15" s="182"/>
      <c r="M15" s="182"/>
      <c r="N15" s="182"/>
      <c r="O15" s="182"/>
      <c r="P15" s="182"/>
      <c r="Q15" s="182"/>
      <c r="R15" s="182"/>
      <c r="S15" s="182"/>
      <c r="T15" s="182"/>
      <c r="U15" s="182"/>
      <c r="V15" s="182"/>
      <c r="W15" s="182"/>
      <c r="X15" s="182"/>
      <c r="Y15" s="182"/>
      <c r="Z15" s="182"/>
      <c r="AA15" s="182"/>
      <c r="AB15" s="182"/>
      <c r="AC15" s="182"/>
      <c r="AD15" s="182"/>
      <c r="AE15" s="182"/>
      <c r="AF15" s="191">
        <f>IF(8&gt;Var_N,"",COUNTIF(Res_Motricidad,"&gt;"&amp;INDEX(Res_Motricidad,8))+COUNTIF(OFFSET(Res_Motricidad,0,0,8,1),INDEX(Res_Motricidad,8)))</f>
      </c>
      <c r="AG15" s="191">
        <f>IF(8&gt;Var_N,"",COUNTIF(Ind_Motricidad,"&gt;"&amp;INDEX(Ind_Motricidad,8))+COUNTIF(OFFSET(Ind_Motricidad,0,0,8,1),INDEX(Ind_Motricidad,8)))</f>
      </c>
      <c r="AH15" s="191">
        <f>IF(8&gt;Var_N,"",COUNTIF(Res_Motricidad,"&gt;"&amp;INDEX(Res_Motricidad,8))+COUNTIF(OFFSET(Res_Motricidad,0,0,8,1),INDEX(Res_Motricidad,8)))</f>
      </c>
      <c r="AI15" s="191">
        <f>IF(8&gt;Var_N,0,IF(INDEX(Res_RangoMot,8)-INDEX(Ind_RangoMot,8)&gt;=2,1,0))</f>
      </c>
      <c r="AJ15" s="191">
        <f>IF($AI$15=0,"",SUM($AI$8:$AI$15))</f>
      </c>
    </row>
    <row r="16">
      <c r="AF16" s="191">
        <f>IF(9&gt;Var_N,"",COUNTIF(Res_Motricidad,"&gt;"&amp;INDEX(Res_Motricidad,9))+COUNTIF(OFFSET(Res_Motricidad,0,0,9,1),INDEX(Res_Motricidad,9)))</f>
      </c>
      <c r="AG16" s="191">
        <f>IF(9&gt;Var_N,"",COUNTIF(Ind_Motricidad,"&gt;"&amp;INDEX(Ind_Motricidad,9))+COUNTIF(OFFSET(Ind_Motricidad,0,0,9,1),INDEX(Ind_Motricidad,9)))</f>
      </c>
      <c r="AH16" s="191">
        <f>IF(9&gt;Var_N,"",COUNTIF(Res_Motricidad,"&gt;"&amp;INDEX(Res_Motricidad,9))+COUNTIF(OFFSET(Res_Motricidad,0,0,9,1),INDEX(Res_Motricidad,9)))</f>
      </c>
      <c r="AI16" s="191">
        <f>IF(9&gt;Var_N,0,IF(INDEX(Res_RangoMot,9)-INDEX(Ind_RangoMot,9)&gt;=2,1,0))</f>
      </c>
      <c r="AJ16" s="191">
        <f>IF($AI$16=0,"",SUM($AI$8:$AI$16))</f>
      </c>
    </row>
    <row r="17" ht="18" customHeight="1">
      <c r="B17" s="192" t="inlineStr">
        <is>
          <t xml:space="preserve">2 · METODOLOGÍA APLICADA</t>
        </is>
      </c>
      <c r="C17" s="192"/>
      <c r="D17" s="192"/>
      <c r="E17" s="192"/>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1">
        <f>IF(10&gt;Var_N,"",COUNTIF(Res_Motricidad,"&gt;"&amp;INDEX(Res_Motricidad,10))+COUNTIF(OFFSET(Res_Motricidad,0,0,10,1),INDEX(Res_Motricidad,10)))</f>
      </c>
      <c r="AG17" s="191">
        <f>IF(10&gt;Var_N,"",COUNTIF(Ind_Motricidad,"&gt;"&amp;INDEX(Ind_Motricidad,10))+COUNTIF(OFFSET(Ind_Motricidad,0,0,10,1),INDEX(Ind_Motricidad,10)))</f>
      </c>
      <c r="AH17" s="191">
        <f>IF(10&gt;Var_N,"",COUNTIF(Res_Motricidad,"&gt;"&amp;INDEX(Res_Motricidad,10))+COUNTIF(OFFSET(Res_Motricidad,0,0,10,1),INDEX(Res_Motricidad,10)))</f>
      </c>
      <c r="AI17" s="191">
        <f>IF(10&gt;Var_N,0,IF(INDEX(Res_RangoMot,10)-INDEX(Ind_RangoMot,10)&gt;=2,1,0))</f>
      </c>
      <c r="AJ17" s="191">
        <f>IF($AI$17=0,"",SUM($AI$8:$AI$17))</f>
      </c>
    </row>
    <row r="18" ht="34" customHeight="1">
      <c r="B18" s="203">
        <f>"Análisis estructural MICMAC conforme al Cahier LIPSOR SR-10. Se identificaron "&amp;Var_N&amp;" factores, se valoró la influencia directa de cada uno sobre los demás en una escala de 0 a 4, y la matriz se elevó a sucesivas potencias hasta estabilizar la clasificación. La zona de indeterminación se fijó en el "&amp;ROUND(Método!$C$23*100,0)&amp;" %"&amp;" del recorrido de cada eje."</f>
      </c>
      <c r="C18" s="203"/>
      <c r="D18" s="203"/>
      <c r="E18" s="203"/>
      <c r="F18" s="203"/>
      <c r="G18" s="203"/>
      <c r="H18" s="203"/>
      <c r="I18" s="203"/>
      <c r="J18" s="203"/>
      <c r="K18" s="203"/>
      <c r="L18" s="203"/>
      <c r="M18" s="203"/>
      <c r="N18" s="203"/>
      <c r="O18" s="203"/>
      <c r="P18" s="203"/>
      <c r="Q18" s="203"/>
      <c r="R18" s="203"/>
      <c r="S18" s="203"/>
      <c r="T18" s="203"/>
      <c r="U18" s="203"/>
      <c r="V18" s="203"/>
      <c r="W18" s="203"/>
      <c r="X18" s="203"/>
      <c r="Y18" s="203"/>
      <c r="Z18" s="203"/>
      <c r="AA18" s="203"/>
      <c r="AB18" s="203"/>
      <c r="AC18" s="203"/>
      <c r="AD18" s="203"/>
      <c r="AE18" s="203"/>
      <c r="AF18" s="191">
        <f>IF(11&gt;Var_N,"",COUNTIF(Res_Motricidad,"&gt;"&amp;INDEX(Res_Motricidad,11))+COUNTIF(OFFSET(Res_Motricidad,0,0,11,1),INDEX(Res_Motricidad,11)))</f>
      </c>
      <c r="AG18" s="191">
        <f>IF(11&gt;Var_N,"",COUNTIF(Ind_Motricidad,"&gt;"&amp;INDEX(Ind_Motricidad,11))+COUNTIF(OFFSET(Ind_Motricidad,0,0,11,1),INDEX(Ind_Motricidad,11)))</f>
      </c>
      <c r="AH18" s="191">
        <f>IF(11&gt;Var_N,"",COUNTIF(Res_Motricidad,"&gt;"&amp;INDEX(Res_Motricidad,11))+COUNTIF(OFFSET(Res_Motricidad,0,0,11,1),INDEX(Res_Motricidad,11)))</f>
      </c>
      <c r="AI18" s="191">
        <f>IF(11&gt;Var_N,0,IF(INDEX(Res_RangoMot,11)-INDEX(Ind_RangoMot,11)&gt;=2,1,0))</f>
      </c>
      <c r="AJ18" s="191">
        <f>IF($AI$18=0,"",SUM($AI$8:$AI$18))</f>
      </c>
    </row>
    <row r="19">
      <c r="AF19" s="191">
        <f>IF(12&gt;Var_N,"",COUNTIF(Res_Motricidad,"&gt;"&amp;INDEX(Res_Motricidad,12))+COUNTIF(OFFSET(Res_Motricidad,0,0,12,1),INDEX(Res_Motricidad,12)))</f>
      </c>
      <c r="AG19" s="191">
        <f>IF(12&gt;Var_N,"",COUNTIF(Ind_Motricidad,"&gt;"&amp;INDEX(Ind_Motricidad,12))+COUNTIF(OFFSET(Ind_Motricidad,0,0,12,1),INDEX(Ind_Motricidad,12)))</f>
      </c>
      <c r="AH19" s="191">
        <f>IF(12&gt;Var_N,"",COUNTIF(Res_Motricidad,"&gt;"&amp;INDEX(Res_Motricidad,12))+COUNTIF(OFFSET(Res_Motricidad,0,0,12,1),INDEX(Res_Motricidad,12)))</f>
      </c>
      <c r="AI19" s="191">
        <f>IF(12&gt;Var_N,0,IF(INDEX(Res_RangoMot,12)-INDEX(Ind_RangoMot,12)&gt;=2,1,0))</f>
      </c>
      <c r="AJ19" s="191">
        <f>IF($AI$19=0,"",SUM($AI$8:$AI$19))</f>
      </c>
    </row>
    <row r="20" ht="18" customHeight="1">
      <c r="B20" s="192" t="inlineStr">
        <is>
          <t xml:space="preserve">3 · EL ESTUDIO EN CIFRAS</t>
        </is>
      </c>
      <c r="C20" s="192"/>
      <c r="D20" s="192"/>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1">
        <f>IF(13&gt;Var_N,"",COUNTIF(Res_Motricidad,"&gt;"&amp;INDEX(Res_Motricidad,13))+COUNTIF(OFFSET(Res_Motricidad,0,0,13,1),INDEX(Res_Motricidad,13)))</f>
      </c>
      <c r="AG20" s="191">
        <f>IF(13&gt;Var_N,"",COUNTIF(Ind_Motricidad,"&gt;"&amp;INDEX(Ind_Motricidad,13))+COUNTIF(OFFSET(Ind_Motricidad,0,0,13,1),INDEX(Ind_Motricidad,13)))</f>
      </c>
      <c r="AH20" s="191">
        <f>IF(13&gt;Var_N,"",COUNTIF(Res_Motricidad,"&gt;"&amp;INDEX(Res_Motricidad,13))+COUNTIF(OFFSET(Res_Motricidad,0,0,13,1),INDEX(Res_Motricidad,13)))</f>
      </c>
      <c r="AI20" s="191">
        <f>IF(13&gt;Var_N,0,IF(INDEX(Res_RangoMot,13)-INDEX(Ind_RangoMot,13)&gt;=2,1,0))</f>
      </c>
      <c r="AJ20" s="191">
        <f>IF($AI$20=0,"",SUM($AI$8:$AI$20))</f>
      </c>
    </row>
    <row r="21" ht="40" customHeight="1">
      <c r="B21" s="189">
        <f>Var_N</f>
      </c>
      <c r="C21" s="189"/>
      <c r="D21" s="189"/>
      <c r="E21" s="189"/>
      <c r="F21" s="189"/>
      <c r="G21" s="189"/>
      <c r="H21" s="189">
        <f>Ind_Preguntas</f>
      </c>
      <c r="I21" s="189"/>
      <c r="J21" s="189"/>
      <c r="K21" s="189"/>
      <c r="L21" s="189"/>
      <c r="M21" s="189"/>
      <c r="N21" s="189">
        <f>Ind_NoNulas</f>
      </c>
      <c r="O21" s="189"/>
      <c r="P21" s="189"/>
      <c r="Q21" s="189"/>
      <c r="R21" s="189"/>
      <c r="S21" s="189"/>
      <c r="T21" s="190">
        <f>Ind_Densidad</f>
      </c>
      <c r="U21" s="190"/>
      <c r="V21" s="190"/>
      <c r="W21" s="190"/>
      <c r="X21" s="190"/>
      <c r="Y21" s="190"/>
      <c r="Z21" s="189">
        <f>Ind_Potenciales</f>
      </c>
      <c r="AA21" s="189"/>
      <c r="AB21" s="189"/>
      <c r="AC21" s="189"/>
      <c r="AD21" s="189"/>
      <c r="AE21" s="189"/>
      <c r="AF21" s="191">
        <f>IF(14&gt;Var_N,"",COUNTIF(Res_Motricidad,"&gt;"&amp;INDEX(Res_Motricidad,14))+COUNTIF(OFFSET(Res_Motricidad,0,0,14,1),INDEX(Res_Motricidad,14)))</f>
      </c>
      <c r="AG21" s="191">
        <f>IF(14&gt;Var_N,"",COUNTIF(Ind_Motricidad,"&gt;"&amp;INDEX(Ind_Motricidad,14))+COUNTIF(OFFSET(Ind_Motricidad,0,0,14,1),INDEX(Ind_Motricidad,14)))</f>
      </c>
      <c r="AH21" s="191">
        <f>IF(14&gt;Var_N,"",COUNTIF(Res_Motricidad,"&gt;"&amp;INDEX(Res_Motricidad,14))+COUNTIF(OFFSET(Res_Motricidad,0,0,14,1),INDEX(Res_Motricidad,14)))</f>
      </c>
      <c r="AI21" s="191">
        <f>IF(14&gt;Var_N,0,IF(INDEX(Res_RangoMot,14)-INDEX(Ind_RangoMot,14)&gt;=2,1,0))</f>
      </c>
      <c r="AJ21" s="191">
        <f>IF($AI$21=0,"",SUM($AI$8:$AI$21))</f>
      </c>
    </row>
    <row r="22" ht="18" customHeight="1">
      <c r="B22" s="192" t="inlineStr">
        <is>
          <t xml:space="preserve">factores</t>
        </is>
      </c>
      <c r="C22" s="192"/>
      <c r="D22" s="192"/>
      <c r="E22" s="192"/>
      <c r="F22" s="192"/>
      <c r="G22" s="192"/>
      <c r="H22" s="192" t="inlineStr">
        <is>
          <t xml:space="preserve">pares posibles</t>
        </is>
      </c>
      <c r="I22" s="192"/>
      <c r="J22" s="192"/>
      <c r="K22" s="192"/>
      <c r="L22" s="192"/>
      <c r="M22" s="192"/>
      <c r="N22" s="192" t="inlineStr">
        <is>
          <t xml:space="preserve">con influencia</t>
        </is>
      </c>
      <c r="O22" s="192"/>
      <c r="P22" s="192"/>
      <c r="Q22" s="192"/>
      <c r="R22" s="192"/>
      <c r="S22" s="192"/>
      <c r="T22" s="192" t="inlineStr">
        <is>
          <t xml:space="preserve">densidad</t>
        </is>
      </c>
      <c r="U22" s="192"/>
      <c r="V22" s="192"/>
      <c r="W22" s="192"/>
      <c r="X22" s="192"/>
      <c r="Y22" s="192"/>
      <c r="Z22" s="192" t="inlineStr">
        <is>
          <t xml:space="preserve">potenciales</t>
        </is>
      </c>
      <c r="AA22" s="192"/>
      <c r="AB22" s="192"/>
      <c r="AC22" s="192"/>
      <c r="AD22" s="192"/>
      <c r="AE22" s="192"/>
      <c r="AF22" s="191">
        <f>IF(15&gt;Var_N,"",COUNTIF(Res_Motricidad,"&gt;"&amp;INDEX(Res_Motricidad,15))+COUNTIF(OFFSET(Res_Motricidad,0,0,15,1),INDEX(Res_Motricidad,15)))</f>
      </c>
      <c r="AG22" s="191">
        <f>IF(15&gt;Var_N,"",COUNTIF(Ind_Motricidad,"&gt;"&amp;INDEX(Ind_Motricidad,15))+COUNTIF(OFFSET(Ind_Motricidad,0,0,15,1),INDEX(Ind_Motricidad,15)))</f>
      </c>
      <c r="AH22" s="191">
        <f>IF(15&gt;Var_N,"",COUNTIF(Res_Motricidad,"&gt;"&amp;INDEX(Res_Motricidad,15))+COUNTIF(OFFSET(Res_Motricidad,0,0,15,1),INDEX(Res_Motricidad,15)))</f>
      </c>
      <c r="AI22" s="191">
        <f>IF(15&gt;Var_N,0,IF(INDEX(Res_RangoMot,15)-INDEX(Ind_RangoMot,15)&gt;=2,1,0))</f>
      </c>
      <c r="AJ22" s="191">
        <f>IF($AI$22=0,"",SUM($AI$8:$AI$22))</f>
      </c>
    </row>
    <row r="23">
      <c r="AF23" s="191">
        <f>IF(16&gt;Var_N,"",COUNTIF(Res_Motricidad,"&gt;"&amp;INDEX(Res_Motricidad,16))+COUNTIF(OFFSET(Res_Motricidad,0,0,16,1),INDEX(Res_Motricidad,16)))</f>
      </c>
      <c r="AG23" s="191">
        <f>IF(16&gt;Var_N,"",COUNTIF(Ind_Motricidad,"&gt;"&amp;INDEX(Ind_Motricidad,16))+COUNTIF(OFFSET(Ind_Motricidad,0,0,16,1),INDEX(Ind_Motricidad,16)))</f>
      </c>
      <c r="AH23" s="191">
        <f>IF(16&gt;Var_N,"",COUNTIF(Res_Motricidad,"&gt;"&amp;INDEX(Res_Motricidad,16))+COUNTIF(OFFSET(Res_Motricidad,0,0,16,1),INDEX(Res_Motricidad,16)))</f>
      </c>
      <c r="AI23" s="191">
        <f>IF(16&gt;Var_N,0,IF(INDEX(Res_RangoMot,16)-INDEX(Ind_RangoMot,16)&gt;=2,1,0))</f>
      </c>
      <c r="AJ23" s="191">
        <f>IF($AI$23=0,"",SUM($AI$8:$AI$23))</f>
      </c>
    </row>
    <row r="24" ht="18" customHeight="1">
      <c r="B24" s="192" t="inlineStr">
        <is>
          <t xml:space="preserve">4 · LOS FACTORES MÁS INFLUYENTES</t>
        </is>
      </c>
      <c r="C24" s="192"/>
      <c r="D24" s="192"/>
      <c r="E24" s="192"/>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1">
        <f>IF(17&gt;Var_N,"",COUNTIF(Res_Motricidad,"&gt;"&amp;INDEX(Res_Motricidad,17))+COUNTIF(OFFSET(Res_Motricidad,0,0,17,1),INDEX(Res_Motricidad,17)))</f>
      </c>
      <c r="AG24" s="191">
        <f>IF(17&gt;Var_N,"",COUNTIF(Ind_Motricidad,"&gt;"&amp;INDEX(Ind_Motricidad,17))+COUNTIF(OFFSET(Ind_Motricidad,0,0,17,1),INDEX(Ind_Motricidad,17)))</f>
      </c>
      <c r="AH24" s="191">
        <f>IF(17&gt;Var_N,"",COUNTIF(Res_Motricidad,"&gt;"&amp;INDEX(Res_Motricidad,17))+COUNTIF(OFFSET(Res_Motricidad,0,0,17,1),INDEX(Res_Motricidad,17)))</f>
      </c>
      <c r="AI24" s="191">
        <f>IF(17&gt;Var_N,0,IF(INDEX(Res_RangoMot,17)-INDEX(Ind_RangoMot,17)&gt;=2,1,0))</f>
      </c>
      <c r="AJ24" s="191">
        <f>IF($AI$24=0,"",SUM($AI$8:$AI$24))</f>
      </c>
    </row>
    <row r="25" ht="18" customHeight="1">
      <c r="B25" s="203" t="inlineStr">
        <is>
          <t xml:space="preserve">Ordenados por cuánto influyen sobre el resto. Junto a cada uno, el papel que el método le atribuye.</t>
        </is>
      </c>
      <c r="C25" s="203"/>
      <c r="D25" s="203"/>
      <c r="E25" s="203"/>
      <c r="F25" s="203"/>
      <c r="G25" s="203"/>
      <c r="H25" s="203"/>
      <c r="I25" s="203"/>
      <c r="J25" s="203"/>
      <c r="K25" s="203"/>
      <c r="L25" s="203"/>
      <c r="M25" s="203"/>
      <c r="N25" s="203"/>
      <c r="O25" s="203"/>
      <c r="P25" s="203"/>
      <c r="Q25" s="203"/>
      <c r="R25" s="203"/>
      <c r="S25" s="203"/>
      <c r="T25" s="203"/>
      <c r="U25" s="203"/>
      <c r="V25" s="203"/>
      <c r="W25" s="203"/>
      <c r="X25" s="203"/>
      <c r="Y25" s="203"/>
      <c r="Z25" s="203"/>
      <c r="AA25" s="203"/>
      <c r="AB25" s="203"/>
      <c r="AC25" s="203"/>
      <c r="AD25" s="203"/>
      <c r="AE25" s="203"/>
      <c r="AF25" s="191">
        <f>IF(18&gt;Var_N,"",COUNTIF(Res_Motricidad,"&gt;"&amp;INDEX(Res_Motricidad,18))+COUNTIF(OFFSET(Res_Motricidad,0,0,18,1),INDEX(Res_Motricidad,18)))</f>
      </c>
      <c r="AG25" s="191">
        <f>IF(18&gt;Var_N,"",COUNTIF(Ind_Motricidad,"&gt;"&amp;INDEX(Ind_Motricidad,18))+COUNTIF(OFFSET(Ind_Motricidad,0,0,18,1),INDEX(Ind_Motricidad,18)))</f>
      </c>
      <c r="AH25" s="191">
        <f>IF(18&gt;Var_N,"",COUNTIF(Res_Motricidad,"&gt;"&amp;INDEX(Res_Motricidad,18))+COUNTIF(OFFSET(Res_Motricidad,0,0,18,1),INDEX(Res_Motricidad,18)))</f>
      </c>
      <c r="AI25" s="191">
        <f>IF(18&gt;Var_N,0,IF(INDEX(Res_RangoMot,18)-INDEX(Ind_RangoMot,18)&gt;=2,1,0))</f>
      </c>
      <c r="AJ25" s="191">
        <f>IF($AI$25=0,"",SUM($AI$8:$AI$25))</f>
      </c>
    </row>
    <row r="26" ht="22" customHeight="1">
      <c r="B26" s="200">
        <f>IFERROR(INDEX(Res_Nombre,MATCH(ROW()-25,$AF$8:$AF$32,0)),"")</f>
      </c>
      <c r="N26" s="203">
        <f>IFERROR("influye sobre "&amp;INDEX(Res_Motricidad,MATCH(ROW()-25,$AF$8:$AF$32,0))&amp;" de los demás  ·  "&amp;IF(INDEX(Res_Tipologia,MATCH(ROW()-25,$AF$8:$AF$32,0))="1 · Entrada / determinante","motriz: gobierna el sistema",IF(INDEX(Res_Tipologia,MATCH(ROW()-25,$AF$8:$AF$32,0))="2 · Intermedia / de enlace","clave: inestable, todo cambio se propaga",IF(INDEX(Res_Tipologia,MATCH(ROW()-25,$AF$8:$AF$32,0))="3 · Resultado","resultado: síntoma del sistema",IF(INDEX(Res_Tipologia,MATCH(ROW()-25,$AF$8:$AF$32,0))="4 · Excluida / autónoma","autónomo: fuera de la dinámica","pelotón: no concluyente")))),"")</f>
      </c>
      <c r="AF26" s="191">
        <f>IF(19&gt;Var_N,"",COUNTIF(Res_Motricidad,"&gt;"&amp;INDEX(Res_Motricidad,19))+COUNTIF(OFFSET(Res_Motricidad,0,0,19,1),INDEX(Res_Motricidad,19)))</f>
      </c>
      <c r="AG26" s="191">
        <f>IF(19&gt;Var_N,"",COUNTIF(Ind_Motricidad,"&gt;"&amp;INDEX(Ind_Motricidad,19))+COUNTIF(OFFSET(Ind_Motricidad,0,0,19,1),INDEX(Ind_Motricidad,19)))</f>
      </c>
      <c r="AH26" s="191">
        <f>IF(19&gt;Var_N,"",COUNTIF(Res_Motricidad,"&gt;"&amp;INDEX(Res_Motricidad,19))+COUNTIF(OFFSET(Res_Motricidad,0,0,19,1),INDEX(Res_Motricidad,19)))</f>
      </c>
      <c r="AI26" s="191">
        <f>IF(19&gt;Var_N,0,IF(INDEX(Res_RangoMot,19)-INDEX(Ind_RangoMot,19)&gt;=2,1,0))</f>
      </c>
      <c r="AJ26" s="191">
        <f>IF($AI$26=0,"",SUM($AI$8:$AI$26))</f>
      </c>
    </row>
    <row r="27" ht="22" customHeight="1">
      <c r="B27" s="200">
        <f>IFERROR(INDEX(Res_Nombre,MATCH(ROW()-25,$AF$8:$AF$32,0)),"")</f>
      </c>
      <c r="N27" s="203">
        <f>IFERROR("influye sobre "&amp;INDEX(Res_Motricidad,MATCH(ROW()-25,$AF$8:$AF$32,0))&amp;" de los demás  ·  "&amp;IF(INDEX(Res_Tipologia,MATCH(ROW()-25,$AF$8:$AF$32,0))="1 · Entrada / determinante","motriz: gobierna el sistema",IF(INDEX(Res_Tipologia,MATCH(ROW()-25,$AF$8:$AF$32,0))="2 · Intermedia / de enlace","clave: inestable, todo cambio se propaga",IF(INDEX(Res_Tipologia,MATCH(ROW()-25,$AF$8:$AF$32,0))="3 · Resultado","resultado: síntoma del sistema",IF(INDEX(Res_Tipologia,MATCH(ROW()-25,$AF$8:$AF$32,0))="4 · Excluida / autónoma","autónomo: fuera de la dinámica","pelotón: no concluyente")))),"")</f>
      </c>
      <c r="AF27" s="191">
        <f>IF(20&gt;Var_N,"",COUNTIF(Res_Motricidad,"&gt;"&amp;INDEX(Res_Motricidad,20))+COUNTIF(OFFSET(Res_Motricidad,0,0,20,1),INDEX(Res_Motricidad,20)))</f>
      </c>
      <c r="AG27" s="191">
        <f>IF(20&gt;Var_N,"",COUNTIF(Ind_Motricidad,"&gt;"&amp;INDEX(Ind_Motricidad,20))+COUNTIF(OFFSET(Ind_Motricidad,0,0,20,1),INDEX(Ind_Motricidad,20)))</f>
      </c>
      <c r="AH27" s="191">
        <f>IF(20&gt;Var_N,"",COUNTIF(Res_Motricidad,"&gt;"&amp;INDEX(Res_Motricidad,20))+COUNTIF(OFFSET(Res_Motricidad,0,0,20,1),INDEX(Res_Motricidad,20)))</f>
      </c>
      <c r="AI27" s="191">
        <f>IF(20&gt;Var_N,0,IF(INDEX(Res_RangoMot,20)-INDEX(Ind_RangoMot,20)&gt;=2,1,0))</f>
      </c>
      <c r="AJ27" s="191">
        <f>IF($AI$27=0,"",SUM($AI$8:$AI$27))</f>
      </c>
    </row>
    <row r="28" ht="22" customHeight="1">
      <c r="B28" s="200">
        <f>IFERROR(INDEX(Res_Nombre,MATCH(ROW()-25,$AF$8:$AF$32,0)),"")</f>
      </c>
      <c r="N28" s="203">
        <f>IFERROR("influye sobre "&amp;INDEX(Res_Motricidad,MATCH(ROW()-25,$AF$8:$AF$32,0))&amp;" de los demás  ·  "&amp;IF(INDEX(Res_Tipologia,MATCH(ROW()-25,$AF$8:$AF$32,0))="1 · Entrada / determinante","motriz: gobierna el sistema",IF(INDEX(Res_Tipologia,MATCH(ROW()-25,$AF$8:$AF$32,0))="2 · Intermedia / de enlace","clave: inestable, todo cambio se propaga",IF(INDEX(Res_Tipologia,MATCH(ROW()-25,$AF$8:$AF$32,0))="3 · Resultado","resultado: síntoma del sistema",IF(INDEX(Res_Tipologia,MATCH(ROW()-25,$AF$8:$AF$32,0))="4 · Excluida / autónoma","autónomo: fuera de la dinámica","pelotón: no concluyente")))),"")</f>
      </c>
      <c r="AF28" s="191">
        <f>IF(21&gt;Var_N,"",COUNTIF(Res_Motricidad,"&gt;"&amp;INDEX(Res_Motricidad,21))+COUNTIF(OFFSET(Res_Motricidad,0,0,21,1),INDEX(Res_Motricidad,21)))</f>
      </c>
      <c r="AG28" s="191">
        <f>IF(21&gt;Var_N,"",COUNTIF(Ind_Motricidad,"&gt;"&amp;INDEX(Ind_Motricidad,21))+COUNTIF(OFFSET(Ind_Motricidad,0,0,21,1),INDEX(Ind_Motricidad,21)))</f>
      </c>
      <c r="AH28" s="191">
        <f>IF(21&gt;Var_N,"",COUNTIF(Res_Motricidad,"&gt;"&amp;INDEX(Res_Motricidad,21))+COUNTIF(OFFSET(Res_Motricidad,0,0,21,1),INDEX(Res_Motricidad,21)))</f>
      </c>
      <c r="AI28" s="191">
        <f>IF(21&gt;Var_N,0,IF(INDEX(Res_RangoMot,21)-INDEX(Ind_RangoMot,21)&gt;=2,1,0))</f>
      </c>
      <c r="AJ28" s="191">
        <f>IF($AI$28=0,"",SUM($AI$8:$AI$28))</f>
      </c>
    </row>
    <row r="29" ht="22" customHeight="1">
      <c r="B29" s="200">
        <f>IFERROR(INDEX(Res_Nombre,MATCH(ROW()-25,$AF$8:$AF$32,0)),"")</f>
      </c>
      <c r="N29" s="203">
        <f>IFERROR("influye sobre "&amp;INDEX(Res_Motricidad,MATCH(ROW()-25,$AF$8:$AF$32,0))&amp;" de los demás  ·  "&amp;IF(INDEX(Res_Tipologia,MATCH(ROW()-25,$AF$8:$AF$32,0))="1 · Entrada / determinante","motriz: gobierna el sistema",IF(INDEX(Res_Tipologia,MATCH(ROW()-25,$AF$8:$AF$32,0))="2 · Intermedia / de enlace","clave: inestable, todo cambio se propaga",IF(INDEX(Res_Tipologia,MATCH(ROW()-25,$AF$8:$AF$32,0))="3 · Resultado","resultado: síntoma del sistema",IF(INDEX(Res_Tipologia,MATCH(ROW()-25,$AF$8:$AF$32,0))="4 · Excluida / autónoma","autónomo: fuera de la dinámica","pelotón: no concluyente")))),"")</f>
      </c>
      <c r="AF29" s="191">
        <f>IF(22&gt;Var_N,"",COUNTIF(Res_Motricidad,"&gt;"&amp;INDEX(Res_Motricidad,22))+COUNTIF(OFFSET(Res_Motricidad,0,0,22,1),INDEX(Res_Motricidad,22)))</f>
      </c>
      <c r="AG29" s="191">
        <f>IF(22&gt;Var_N,"",COUNTIF(Ind_Motricidad,"&gt;"&amp;INDEX(Ind_Motricidad,22))+COUNTIF(OFFSET(Ind_Motricidad,0,0,22,1),INDEX(Ind_Motricidad,22)))</f>
      </c>
      <c r="AH29" s="191">
        <f>IF(22&gt;Var_N,"",COUNTIF(Res_Motricidad,"&gt;"&amp;INDEX(Res_Motricidad,22))+COUNTIF(OFFSET(Res_Motricidad,0,0,22,1),INDEX(Res_Motricidad,22)))</f>
      </c>
      <c r="AI29" s="191">
        <f>IF(22&gt;Var_N,0,IF(INDEX(Res_RangoMot,22)-INDEX(Ind_RangoMot,22)&gt;=2,1,0))</f>
      </c>
      <c r="AJ29" s="191">
        <f>IF($AI$29=0,"",SUM($AI$8:$AI$29))</f>
      </c>
    </row>
    <row r="30" ht="22" customHeight="1">
      <c r="B30" s="200">
        <f>IFERROR(INDEX(Res_Nombre,MATCH(ROW()-25,$AF$8:$AF$32,0)),"")</f>
      </c>
      <c r="N30" s="203">
        <f>IFERROR("influye sobre "&amp;INDEX(Res_Motricidad,MATCH(ROW()-25,$AF$8:$AF$32,0))&amp;" de los demás  ·  "&amp;IF(INDEX(Res_Tipologia,MATCH(ROW()-25,$AF$8:$AF$32,0))="1 · Entrada / determinante","motriz: gobierna el sistema",IF(INDEX(Res_Tipologia,MATCH(ROW()-25,$AF$8:$AF$32,0))="2 · Intermedia / de enlace","clave: inestable, todo cambio se propaga",IF(INDEX(Res_Tipologia,MATCH(ROW()-25,$AF$8:$AF$32,0))="3 · Resultado","resultado: síntoma del sistema",IF(INDEX(Res_Tipologia,MATCH(ROW()-25,$AF$8:$AF$32,0))="4 · Excluida / autónoma","autónomo: fuera de la dinámica","pelotón: no concluyente")))),"")</f>
      </c>
      <c r="AF30" s="191">
        <f>IF(23&gt;Var_N,"",COUNTIF(Res_Motricidad,"&gt;"&amp;INDEX(Res_Motricidad,23))+COUNTIF(OFFSET(Res_Motricidad,0,0,23,1),INDEX(Res_Motricidad,23)))</f>
      </c>
      <c r="AG30" s="191">
        <f>IF(23&gt;Var_N,"",COUNTIF(Ind_Motricidad,"&gt;"&amp;INDEX(Ind_Motricidad,23))+COUNTIF(OFFSET(Ind_Motricidad,0,0,23,1),INDEX(Ind_Motricidad,23)))</f>
      </c>
      <c r="AH30" s="191">
        <f>IF(23&gt;Var_N,"",COUNTIF(Res_Motricidad,"&gt;"&amp;INDEX(Res_Motricidad,23))+COUNTIF(OFFSET(Res_Motricidad,0,0,23,1),INDEX(Res_Motricidad,23)))</f>
      </c>
      <c r="AI30" s="191">
        <f>IF(23&gt;Var_N,0,IF(INDEX(Res_RangoMot,23)-INDEX(Ind_RangoMot,23)&gt;=2,1,0))</f>
      </c>
      <c r="AJ30" s="191">
        <f>IF($AI$30=0,"",SUM($AI$8:$AI$30))</f>
      </c>
    </row>
    <row r="31" ht="22" customHeight="1">
      <c r="B31" s="200">
        <f>IFERROR(INDEX(Res_Nombre,MATCH(ROW()-25,$AF$8:$AF$32,0)),"")</f>
      </c>
      <c r="N31" s="203">
        <f>IFERROR("influye sobre "&amp;INDEX(Res_Motricidad,MATCH(ROW()-25,$AF$8:$AF$32,0))&amp;" de los demás  ·  "&amp;IF(INDEX(Res_Tipologia,MATCH(ROW()-25,$AF$8:$AF$32,0))="1 · Entrada / determinante","motriz: gobierna el sistema",IF(INDEX(Res_Tipologia,MATCH(ROW()-25,$AF$8:$AF$32,0))="2 · Intermedia / de enlace","clave: inestable, todo cambio se propaga",IF(INDEX(Res_Tipologia,MATCH(ROW()-25,$AF$8:$AF$32,0))="3 · Resultado","resultado: síntoma del sistema",IF(INDEX(Res_Tipologia,MATCH(ROW()-25,$AF$8:$AF$32,0))="4 · Excluida / autónoma","autónomo: fuera de la dinámica","pelotón: no concluyente")))),"")</f>
      </c>
      <c r="AF31" s="191">
        <f>IF(24&gt;Var_N,"",COUNTIF(Res_Motricidad,"&gt;"&amp;INDEX(Res_Motricidad,24))+COUNTIF(OFFSET(Res_Motricidad,0,0,24,1),INDEX(Res_Motricidad,24)))</f>
      </c>
      <c r="AG31" s="191">
        <f>IF(24&gt;Var_N,"",COUNTIF(Ind_Motricidad,"&gt;"&amp;INDEX(Ind_Motricidad,24))+COUNTIF(OFFSET(Ind_Motricidad,0,0,24,1),INDEX(Ind_Motricidad,24)))</f>
      </c>
      <c r="AH31" s="191">
        <f>IF(24&gt;Var_N,"",COUNTIF(Res_Motricidad,"&gt;"&amp;INDEX(Res_Motricidad,24))+COUNTIF(OFFSET(Res_Motricidad,0,0,24,1),INDEX(Res_Motricidad,24)))</f>
      </c>
      <c r="AI31" s="191">
        <f>IF(24&gt;Var_N,0,IF(INDEX(Res_RangoMot,24)-INDEX(Ind_RangoMot,24)&gt;=2,1,0))</f>
      </c>
      <c r="AJ31" s="191">
        <f>IF($AI$31=0,"",SUM($AI$8:$AI$31))</f>
      </c>
    </row>
    <row r="32">
      <c r="AF32" s="191">
        <f>IF(25&gt;Var_N,"",COUNTIF(Res_Motricidad,"&gt;"&amp;INDEX(Res_Motricidad,25))+COUNTIF(OFFSET(Res_Motricidad,0,0,25,1),INDEX(Res_Motricidad,25)))</f>
      </c>
      <c r="AG32" s="191">
        <f>IF(25&gt;Var_N,"",COUNTIF(Ind_Motricidad,"&gt;"&amp;INDEX(Ind_Motricidad,25))+COUNTIF(OFFSET(Ind_Motricidad,0,0,25,1),INDEX(Ind_Motricidad,25)))</f>
      </c>
      <c r="AH32" s="191">
        <f>IF(25&gt;Var_N,"",COUNTIF(Res_Motricidad,"&gt;"&amp;INDEX(Res_Motricidad,25))+COUNTIF(OFFSET(Res_Motricidad,0,0,25,1),INDEX(Res_Motricidad,25)))</f>
      </c>
      <c r="AI32" s="191">
        <f>IF(25&gt;Var_N,0,IF(INDEX(Res_RangoMot,25)-INDEX(Ind_RangoMot,25)&gt;=2,1,0))</f>
      </c>
      <c r="AJ32" s="191">
        <f>IF($AI$32=0,"",SUM($AI$8:$AI$32))</f>
      </c>
    </row>
    <row r="33" ht="18" customHeight="1">
      <c r="B33" s="192" t="inlineStr">
        <is>
          <t xml:space="preserve">5 · INFLUENCIAS QUE EL PANEL NO DECLARÓ</t>
        </is>
      </c>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c r="AE33" s="192"/>
    </row>
    <row r="34" ht="26" customHeight="1">
      <c r="B34" s="203">
        <f>IF(Var_N&lt;2,"",IF(SUM($AI$8:$AI$32)=0,"Ningún factor cambia de forma apreciable al encadenar las relaciones.",SUM($AI$8:$AI$32)&amp;IF(SUM($AI$8:$AI$32)=1," factor sube dos o más puestos"," factores suben dos o más puestos")&amp;" al pasar de la influencia declarada a la real."))</f>
      </c>
      <c r="C34" s="203"/>
      <c r="D34" s="203"/>
      <c r="E34" s="203"/>
      <c r="F34" s="203"/>
      <c r="G34" s="203"/>
      <c r="H34" s="203"/>
      <c r="I34" s="203"/>
      <c r="J34" s="203"/>
      <c r="K34" s="203"/>
      <c r="L34" s="203"/>
      <c r="M34" s="203"/>
      <c r="N34" s="203"/>
      <c r="O34" s="203"/>
      <c r="P34" s="203"/>
      <c r="Q34" s="203"/>
      <c r="R34" s="203"/>
      <c r="S34" s="203"/>
      <c r="T34" s="203"/>
      <c r="U34" s="203"/>
      <c r="V34" s="203"/>
      <c r="W34" s="203"/>
      <c r="X34" s="203"/>
      <c r="Y34" s="203"/>
      <c r="Z34" s="203"/>
      <c r="AA34" s="203"/>
      <c r="AB34" s="203"/>
      <c r="AC34" s="203"/>
      <c r="AD34" s="203"/>
      <c r="AE34" s="203"/>
    </row>
    <row r="35" ht="20" customHeight="1">
      <c r="B35" s="201">
        <f>IFERROR(IF(INDEX(Res_RangoMot,MATCH(ROW()-34,$AJ$8:$AJ$32,0))-INDEX(Ind_RangoMot,MATCH(ROW()-34,$AJ$8:$AJ$32,0))&gt;=2,INDEX(Res_Nombre,MATCH(ROW()-34,$AJ$8:$AJ$32,0)),""),"")</f>
      </c>
      <c r="N35" s="203">
        <f>IFERROR(IF(INDEX(Res_RangoMot,MATCH(ROW()-34,$AJ$8:$AJ$32,0))-INDEX(Ind_RangoMot,MATCH(ROW()-34,$AJ$8:$AJ$32,0))&gt;=2,"sube del puesto "&amp;INDEX(Res_RangoMot,MATCH(ROW()-34,$AJ$8:$AJ$32,0))&amp;" al "&amp;INDEX(Ind_RangoMot,MATCH(ROW()-34,$AJ$8:$AJ$32,0))&amp;" al encadenar las relaciones",""),"")</f>
      </c>
    </row>
    <row r="36" ht="20" customHeight="1">
      <c r="B36" s="201">
        <f>IFERROR(IF(INDEX(Res_RangoMot,MATCH(ROW()-34,$AJ$8:$AJ$32,0))-INDEX(Ind_RangoMot,MATCH(ROW()-34,$AJ$8:$AJ$32,0))&gt;=2,INDEX(Res_Nombre,MATCH(ROW()-34,$AJ$8:$AJ$32,0)),""),"")</f>
      </c>
      <c r="N36" s="203">
        <f>IFERROR(IF(INDEX(Res_RangoMot,MATCH(ROW()-34,$AJ$8:$AJ$32,0))-INDEX(Ind_RangoMot,MATCH(ROW()-34,$AJ$8:$AJ$32,0))&gt;=2,"sube del puesto "&amp;INDEX(Res_RangoMot,MATCH(ROW()-34,$AJ$8:$AJ$32,0))&amp;" al "&amp;INDEX(Ind_RangoMot,MATCH(ROW()-34,$AJ$8:$AJ$32,0))&amp;" al encadenar las relaciones",""),"")</f>
      </c>
    </row>
    <row r="37" ht="20" customHeight="1">
      <c r="B37" s="201">
        <f>IFERROR(IF(INDEX(Res_RangoMot,MATCH(ROW()-34,$AJ$8:$AJ$32,0))-INDEX(Ind_RangoMot,MATCH(ROW()-34,$AJ$8:$AJ$32,0))&gt;=2,INDEX(Res_Nombre,MATCH(ROW()-34,$AJ$8:$AJ$32,0)),""),"")</f>
      </c>
      <c r="N37" s="203">
        <f>IFERROR(IF(INDEX(Res_RangoMot,MATCH(ROW()-34,$AJ$8:$AJ$32,0))-INDEX(Ind_RangoMot,MATCH(ROW()-34,$AJ$8:$AJ$32,0))&gt;=2,"sube del puesto "&amp;INDEX(Res_RangoMot,MATCH(ROW()-34,$AJ$8:$AJ$32,0))&amp;" al "&amp;INDEX(Ind_RangoMot,MATCH(ROW()-34,$AJ$8:$AJ$32,0))&amp;" al encadenar las relaciones",""),"")</f>
      </c>
    </row>
    <row r="38" ht="20" customHeight="1">
      <c r="B38" s="201">
        <f>IFERROR(IF(INDEX(Res_RangoMot,MATCH(ROW()-34,$AJ$8:$AJ$32,0))-INDEX(Ind_RangoMot,MATCH(ROW()-34,$AJ$8:$AJ$32,0))&gt;=2,INDEX(Res_Nombre,MATCH(ROW()-34,$AJ$8:$AJ$32,0)),""),"")</f>
      </c>
      <c r="N38" s="203">
        <f>IFERROR(IF(INDEX(Res_RangoMot,MATCH(ROW()-34,$AJ$8:$AJ$32,0))-INDEX(Ind_RangoMot,MATCH(ROW()-34,$AJ$8:$AJ$32,0))&gt;=2,"sube del puesto "&amp;INDEX(Res_RangoMot,MATCH(ROW()-34,$AJ$8:$AJ$32,0))&amp;" al "&amp;INDEX(Ind_RangoMot,MATCH(ROW()-34,$AJ$8:$AJ$32,0))&amp;" al encadenar las relaciones",""),"")</f>
      </c>
    </row>
    <row r="39" ht="20" customHeight="1">
      <c r="B39" s="201">
        <f>IFERROR(IF(INDEX(Res_RangoMot,MATCH(ROW()-34,$AJ$8:$AJ$32,0))-INDEX(Ind_RangoMot,MATCH(ROW()-34,$AJ$8:$AJ$32,0))&gt;=2,INDEX(Res_Nombre,MATCH(ROW()-34,$AJ$8:$AJ$32,0)),""),"")</f>
      </c>
      <c r="N39" s="203">
        <f>IFERROR(IF(INDEX(Res_RangoMot,MATCH(ROW()-34,$AJ$8:$AJ$32,0))-INDEX(Ind_RangoMot,MATCH(ROW()-34,$AJ$8:$AJ$32,0))&gt;=2,"sube del puesto "&amp;INDEX(Res_RangoMot,MATCH(ROW()-34,$AJ$8:$AJ$32,0))&amp;" al "&amp;INDEX(Ind_RangoMot,MATCH(ROW()-34,$AJ$8:$AJ$32,0))&amp;" al encadenar las relaciones",""),"")</f>
      </c>
    </row>
    <row r="41" ht="18" customHeight="1">
      <c r="B41" s="192" t="inlineStr">
        <is>
          <t xml:space="preserve">6 · CON QUÉ CRITERIO SE VALORÓ</t>
        </is>
      </c>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row>
    <row r="42" ht="26" customHeight="1">
      <c r="B42" s="200">
        <f>'03 · Criterio'!$C$28</f>
      </c>
      <c r="L42" s="203">
        <f>'03 · Criterio'!$C$29</f>
      </c>
    </row>
    <row r="43" ht="26" customHeight="1">
      <c r="B43" s="200">
        <f>'03 · Criterio'!$C$30</f>
      </c>
      <c r="L43" s="203">
        <f>'03 · Criterio'!$C$31</f>
      </c>
    </row>
    <row r="44" ht="26" customHeight="1">
      <c r="B44" s="200">
        <f>'03 · Criterio'!$C$32</f>
      </c>
      <c r="L44" s="203">
        <f>'03 · Criterio'!$C$33</f>
      </c>
    </row>
    <row r="45" ht="26" customHeight="1">
      <c r="B45" s="200">
        <f>'03 · Criterio'!$C$34</f>
      </c>
      <c r="L45" s="203">
        <f>'03 · Criterio'!$C$35</f>
      </c>
    </row>
    <row r="47" ht="18" customHeight="1">
      <c r="B47" s="192" t="inlineStr">
        <is>
          <t xml:space="preserve">7 · CALIDAD DEL ESTUDIO Y SALVEDADES</t>
        </is>
      </c>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row>
    <row r="48" ht="26" customHeight="1">
      <c r="B48" s="203">
        <f>IF(Var_N&lt;2,"",IF((OR(Ind_Densidad&lt;0.2,Ind_Densidad&gt;0.25))*1+(IF(Ind_NoNulas=0,0,COUNTIF('04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Criterio'!$D$19="4")),0,1)&gt;0))*1=0,"El estudio no presenta situaciones atípicas. Todos los indicadores están dentro de su rango esperable.","El estudio presenta "&amp;(OR(Ind_Densidad&lt;0.2,Ind_Densidad&gt;0.25))*1+(IF(Ind_NoNulas=0,0,COUNTIF('04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Criterio'!$D$19="4")),0,1)&gt;0))*1&amp;IF((OR(Ind_Densidad&lt;0.2,Ind_Densidad&gt;0.25))*1+(IF(Ind_NoNulas=0,0,COUNTIF('04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Criterio'!$D$19="4")),0,1)&gt;0))*1=1," situación que conviene tener"," situaciones que conviene tener")&amp;" en cuenta al leer los resultados:"))</f>
      </c>
      <c r="C48" s="203"/>
      <c r="D48" s="203"/>
      <c r="E48" s="203"/>
      <c r="F48" s="203"/>
      <c r="G48" s="203"/>
      <c r="H48" s="203"/>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row>
    <row r="49" ht="20" customHeight="1">
      <c r="B49" s="203">
        <f>IF(Var_N&lt;2,"",IF(OR(Ind_Densidad&lt;0.2,Ind_Densidad&gt;0.25),"·  "&amp;"Densidad del "&amp;ROUND(Ind_Densidad*100,1)&amp;" %, fuera del rango habitual del 20 % al 25 %.",""))</f>
      </c>
      <c r="C49" s="203"/>
      <c r="D49" s="203"/>
      <c r="E49" s="203"/>
      <c r="F49" s="203"/>
      <c r="G49" s="203"/>
      <c r="H49" s="203"/>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row>
    <row r="50" ht="20" customHeight="1">
      <c r="B50" s="203">
        <f>IF(Var_N&lt;2,"",IF(IF(Ind_NoNulas=0,0,COUNTIF('04 · Matriz'!$C$6:$AA$30,3)/Ind_NoNulas)&gt;0.6,"·  "&amp;"El "&amp;ROUND(IF(Ind_NoNulas=0,0,COUNTIF('04 · Matriz'!$C$6:$AA$30,3)/Ind_NoNulas)*100,0)&amp;" % de las relaciones se valoraron como 3: el panel puede no estar distinguiendo intensidades.",""))</f>
      </c>
      <c r="C50" s="203"/>
      <c r="D50" s="203"/>
      <c r="E50" s="203"/>
      <c r="F50" s="203"/>
      <c r="G50" s="203"/>
      <c r="H50" s="203"/>
      <c r="I50" s="203"/>
      <c r="J50" s="203"/>
      <c r="K50" s="203"/>
      <c r="L50" s="203"/>
      <c r="M50" s="203"/>
      <c r="N50" s="203"/>
      <c r="O50" s="203"/>
      <c r="P50" s="203"/>
      <c r="Q50" s="203"/>
      <c r="R50" s="203"/>
      <c r="S50" s="203"/>
      <c r="T50" s="203"/>
      <c r="U50" s="203"/>
      <c r="V50" s="203"/>
      <c r="W50" s="203"/>
      <c r="X50" s="203"/>
      <c r="Y50" s="203"/>
      <c r="Z50" s="203"/>
      <c r="AA50" s="203"/>
      <c r="AB50" s="203"/>
      <c r="AC50" s="203"/>
      <c r="AD50" s="203"/>
      <c r="AE50" s="203"/>
    </row>
    <row r="51" ht="20" customHeight="1">
      <c r="B51" s="203">
        <f>IF(Var_N&lt;2,"",IF(IF(Var_N&lt;2,0,SUMPRODUCT((Res_Motricidad=0)*(ROW(Res_Motricidad)-ROW(INDEX(Res_Motricidad,1))+1&lt;=Var_N))+SUMPRODUCT((Res_Dependencia=0)*(ROW(Res_Dependencia)-ROW(INDEX(Res_Dependencia,1))+1&lt;=Var_N)))&gt;0,"·  "&amp;IF(Var_N&lt;2,0,SUMPRODUCT((Res_Motricidad=0)*(ROW(Res_Motricidad)-ROW(INDEX(Res_Motricidad,1))+1&lt;=Var_N))+SUMPRODUCT((Res_Dependencia=0)*(ROW(Res_Dependencia)-ROW(INDEX(Res_Dependencia,1))+1&lt;=Var_N)))&amp;IF(IF(Var_N&lt;2,0,SUMPRODUCT((Res_Motricidad=0)*(ROW(Res_Motricidad)-ROW(INDEX(Res_Motricidad,1))+1&lt;=Var_N))+SUMPRODUCT((Res_Dependencia=0)*(ROW(Res_Dependencia)-ROW(INDEX(Res_Dependencia,1))+1&lt;=Var_N)))=1," factor quedó aislado"," factores quedaron aislados")&amp;" en la matriz.",""))</f>
      </c>
      <c r="C51" s="203"/>
      <c r="D51" s="203"/>
      <c r="E51" s="203"/>
      <c r="F51" s="203"/>
      <c r="G51" s="203"/>
      <c r="H51" s="203"/>
      <c r="I51" s="203"/>
      <c r="J51" s="203"/>
      <c r="K51" s="203"/>
      <c r="L51" s="203"/>
      <c r="M51" s="203"/>
      <c r="N51" s="203"/>
      <c r="O51" s="203"/>
      <c r="P51" s="203"/>
      <c r="Q51" s="203"/>
      <c r="R51" s="203"/>
      <c r="S51" s="203"/>
      <c r="T51" s="203"/>
      <c r="U51" s="203"/>
      <c r="V51" s="203"/>
      <c r="W51" s="203"/>
      <c r="X51" s="203"/>
      <c r="Y51" s="203"/>
      <c r="Z51" s="203"/>
      <c r="AA51" s="203"/>
      <c r="AB51" s="203"/>
      <c r="AC51" s="203"/>
      <c r="AD51" s="203"/>
      <c r="AE51" s="203"/>
    </row>
    <row r="52" ht="20" customHeight="1">
      <c r="B52" s="203">
        <f>IF(Var_N&lt;2,"",IF(SUMPRODUCT(('02 · Variables'!$C$7:$C$31&lt;&gt;"")*(COUNTIF('02 · Variables'!$C$7:$C$31,LEFT('02 · Variables'!$C$7:$C$31,12)&amp;"*")&gt;1))-SUMPRODUCT(('02 · Variables'!$C$7:$C$31&lt;&gt;"")*(COUNTIF('02 · Variables'!$C$7:$C$31,'02 · Variables'!$C$7:$C$31&amp;"")&gt;1))&gt;0,"·  "&amp;SUMPRODUCT(('02 · Variables'!$C$7:$C$31&lt;&gt;"")*(COUNTIF('02 · Variables'!$C$7:$C$31,LEFT('02 · Variables'!$C$7:$C$31,12)&amp;"*")&gt;1))-SUMPRODUCT(('02 · Variables'!$C$7:$C$31&lt;&gt;"")*(COUNTIF('02 · Variables'!$C$7:$C$31,'02 · Variables'!$C$7:$C$31&amp;"")&gt;1))&amp;IF(SUMPRODUCT(('02 · Variables'!$C$7:$C$31&lt;&gt;"")*(COUNTIF('02 · Variables'!$C$7:$C$31,LEFT('02 · Variables'!$C$7:$C$31,12)&amp;"*")&gt;1))-SUMPRODUCT(('02 · Variables'!$C$7:$C$31&lt;&gt;"")*(COUNTIF('02 · Variables'!$C$7:$C$31,'02 · Variables'!$C$7:$C$31&amp;"")&gt;1))=1," nombre de factor resulta casi idéntico a otro"," nombres de factor resultan casi idénticos entre sí")&amp;".",""))</f>
      </c>
      <c r="C52" s="203"/>
      <c r="D52" s="203"/>
      <c r="E52" s="203"/>
      <c r="F52" s="203"/>
      <c r="G52" s="203"/>
      <c r="H52" s="203"/>
      <c r="I52" s="203"/>
      <c r="J52" s="203"/>
      <c r="K52" s="203"/>
      <c r="L52" s="203"/>
      <c r="M52" s="203"/>
      <c r="N52" s="203"/>
      <c r="O52" s="203"/>
      <c r="P52" s="203"/>
      <c r="Q52" s="203"/>
      <c r="R52" s="203"/>
      <c r="S52" s="203"/>
      <c r="T52" s="203"/>
      <c r="U52" s="203"/>
      <c r="V52" s="203"/>
      <c r="W52" s="203"/>
      <c r="X52" s="203"/>
      <c r="Y52" s="203"/>
      <c r="Z52" s="203"/>
      <c r="AA52" s="203"/>
      <c r="AB52" s="203"/>
      <c r="AC52" s="203"/>
      <c r="AD52" s="203"/>
      <c r="AE52" s="203"/>
    </row>
    <row r="53" ht="20" customHeight="1">
      <c r="B53" s="203">
        <f>IF(Var_N&lt;2,"",IF(COUNTIF(Res_Tipologia,"5 · Pelotón (no concluyente)")&gt;Var_N*0.4,"·  "&amp;COUNTIF(Res_Tipologia,"5 · Pelotón (no concluyente)")&amp;" factores caen en la zona de indeterminación: el plano discrimina poco.",""))</f>
      </c>
      <c r="C53" s="203"/>
      <c r="D53" s="203"/>
      <c r="E53" s="203"/>
      <c r="F53" s="203"/>
      <c r="G53" s="203"/>
      <c r="H53" s="203"/>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row>
    <row r="54" ht="20" customHeight="1">
      <c r="B54" s="203">
        <f>IF(Var_N&lt;2,"",IF(OR((IF(OR('03 · Criterio'!$D$13="",OR('03 · Criterio'!$D$13=0,'03 · Criterio'!$D$13="0")),0,1)+IF(OR('03 · Criterio'!$D$15="",OR('03 · Criterio'!$D$15=0,'03 · Criterio'!$D$15="0")),0,1))&gt;0,IF(OR('03 · Criterio'!$D$19="",OR('03 · Criterio'!$D$19=4,'03 · Criterio'!$D$19="4")),0,1)&gt;0),"·  "&amp;"Durante la calibración el panel resolvió algún caso de forma incoherente con el método.",""))</f>
      </c>
      <c r="C54" s="203"/>
      <c r="D54" s="203"/>
      <c r="E54" s="203"/>
      <c r="F54" s="203"/>
      <c r="G54" s="203"/>
      <c r="H54" s="203"/>
      <c r="I54" s="203"/>
      <c r="J54" s="203"/>
      <c r="K54" s="203"/>
      <c r="L54" s="203"/>
      <c r="M54" s="203"/>
      <c r="N54" s="203"/>
      <c r="O54" s="203"/>
      <c r="P54" s="203"/>
      <c r="Q54" s="203"/>
      <c r="R54" s="203"/>
      <c r="S54" s="203"/>
      <c r="T54" s="203"/>
      <c r="U54" s="203"/>
      <c r="V54" s="203"/>
      <c r="W54" s="203"/>
      <c r="X54" s="203"/>
      <c r="Y54" s="203"/>
      <c r="Z54" s="203"/>
      <c r="AA54" s="203"/>
      <c r="AB54" s="203"/>
      <c r="AC54" s="203"/>
      <c r="AD54" s="203"/>
      <c r="AE54" s="203"/>
    </row>
    <row r="55" ht="18" customHeight="1">
      <c r="B55" s="192" t="inlineStr">
        <is>
          <t xml:space="preserve">8 · LO QUE ESTE ANÁLISIS NO PERMITE AFIRMAR</t>
        </is>
      </c>
      <c r="C55" s="192"/>
      <c r="D55" s="192"/>
      <c r="E55" s="192"/>
      <c r="F55" s="192"/>
      <c r="G55" s="192"/>
      <c r="H55" s="192"/>
      <c r="I55" s="192"/>
      <c r="J55" s="192"/>
      <c r="K55" s="192"/>
      <c r="L55" s="192"/>
      <c r="M55" s="192"/>
      <c r="N55" s="192"/>
      <c r="O55" s="192"/>
      <c r="P55" s="192"/>
      <c r="Q55" s="192"/>
      <c r="R55" s="192"/>
      <c r="S55" s="192"/>
      <c r="T55" s="192"/>
      <c r="U55" s="192"/>
      <c r="V55" s="192"/>
      <c r="W55" s="192"/>
      <c r="X55" s="192"/>
      <c r="Y55" s="192"/>
      <c r="Z55" s="192"/>
      <c r="AA55" s="192"/>
      <c r="AB55" s="192"/>
      <c r="AC55" s="192"/>
      <c r="AD55" s="192"/>
      <c r="AE55" s="192"/>
    </row>
    <row r="56" ht="20" customHeight="1">
      <c r="B56" s="203" t="inlineStr">
        <is>
          <t xml:space="preserve">·   La influencia no es causalidad: el método ordena los factores, no demuestra relaciones causales.</t>
        </is>
      </c>
      <c r="C56" s="203"/>
      <c r="D56" s="203"/>
      <c r="E56" s="203"/>
      <c r="F56" s="203"/>
      <c r="G56" s="203"/>
      <c r="H56" s="203"/>
      <c r="I56" s="203"/>
      <c r="J56" s="203"/>
      <c r="K56" s="203"/>
      <c r="L56" s="203"/>
      <c r="M56" s="203"/>
      <c r="N56" s="203"/>
      <c r="O56" s="203"/>
      <c r="P56" s="203"/>
      <c r="Q56" s="203"/>
      <c r="R56" s="203"/>
      <c r="S56" s="203"/>
      <c r="T56" s="203"/>
      <c r="U56" s="203"/>
      <c r="V56" s="203"/>
      <c r="W56" s="203"/>
      <c r="X56" s="203"/>
      <c r="Y56" s="203"/>
      <c r="Z56" s="203"/>
      <c r="AA56" s="203"/>
      <c r="AB56" s="203"/>
      <c r="AC56" s="203"/>
      <c r="AD56" s="203"/>
      <c r="AE56" s="203"/>
    </row>
    <row r="57" ht="20" customHeight="1">
      <c r="B57" s="203" t="inlineStr">
        <is>
          <t xml:space="preserve">·   El resultado depende de qué factores se eligieron, no solo del sistema analizado.</t>
        </is>
      </c>
      <c r="C57" s="203"/>
      <c r="D57" s="203"/>
      <c r="E57" s="203"/>
      <c r="F57" s="203"/>
      <c r="G57" s="203"/>
      <c r="H57" s="203"/>
      <c r="I57" s="203"/>
      <c r="J57" s="203"/>
      <c r="K57" s="203"/>
      <c r="L57" s="203"/>
      <c r="M57" s="203"/>
      <c r="N57" s="203"/>
      <c r="O57" s="203"/>
      <c r="P57" s="203"/>
      <c r="Q57" s="203"/>
      <c r="R57" s="203"/>
      <c r="S57" s="203"/>
      <c r="T57" s="203"/>
      <c r="U57" s="203"/>
      <c r="V57" s="203"/>
      <c r="W57" s="203"/>
      <c r="X57" s="203"/>
      <c r="Y57" s="203"/>
      <c r="Z57" s="203"/>
      <c r="AA57" s="203"/>
      <c r="AB57" s="203"/>
      <c r="AC57" s="203"/>
      <c r="AD57" s="203"/>
      <c r="AE57" s="203"/>
    </row>
    <row r="58" ht="20" customHeight="1">
      <c r="B58" s="203" t="inlineStr">
        <is>
          <t xml:space="preserve">·   Refleja el juicio del panel en el momento del estudio, no una medición del mundo real.</t>
        </is>
      </c>
      <c r="C58" s="203"/>
      <c r="D58" s="203"/>
      <c r="E58" s="203"/>
      <c r="F58" s="203"/>
      <c r="G58" s="203"/>
      <c r="H58" s="203"/>
      <c r="I58" s="203"/>
      <c r="J58" s="203"/>
      <c r="K58" s="203"/>
      <c r="L58" s="203"/>
      <c r="M58" s="203"/>
      <c r="N58" s="203"/>
      <c r="O58" s="203"/>
      <c r="P58" s="203"/>
      <c r="Q58" s="203"/>
      <c r="R58" s="203"/>
      <c r="S58" s="203"/>
      <c r="T58" s="203"/>
      <c r="U58" s="203"/>
      <c r="V58" s="203"/>
      <c r="W58" s="203"/>
      <c r="X58" s="203"/>
      <c r="Y58" s="203"/>
      <c r="Z58" s="203"/>
      <c r="AA58" s="203"/>
      <c r="AB58" s="203"/>
      <c r="AC58" s="203"/>
      <c r="AD58" s="203"/>
      <c r="AE58" s="203"/>
    </row>
    <row r="59" ht="20" customHeight="1">
      <c r="B59" s="203" t="inlineStr">
        <is>
          <t xml:space="preserve">·   La clasificación indirecta es una construcción del método, no una observación.</t>
        </is>
      </c>
      <c r="C59" s="203"/>
      <c r="D59" s="203"/>
      <c r="E59" s="203"/>
      <c r="F59" s="203"/>
      <c r="G59" s="203"/>
      <c r="H59" s="203"/>
      <c r="I59" s="203"/>
      <c r="J59" s="203"/>
      <c r="K59" s="203"/>
      <c r="L59" s="203"/>
      <c r="M59" s="203"/>
      <c r="N59" s="203"/>
      <c r="O59" s="203"/>
      <c r="P59" s="203"/>
      <c r="Q59" s="203"/>
      <c r="R59" s="203"/>
      <c r="S59" s="203"/>
      <c r="T59" s="203"/>
      <c r="U59" s="203"/>
      <c r="V59" s="203"/>
      <c r="W59" s="203"/>
      <c r="X59" s="203"/>
      <c r="Y59" s="203"/>
      <c r="Z59" s="203"/>
      <c r="AA59" s="203"/>
      <c r="AB59" s="203"/>
      <c r="AC59" s="203"/>
      <c r="AD59" s="203"/>
      <c r="AE59" s="203"/>
    </row>
    <row r="61" ht="18" customHeight="1">
      <c r="B61" s="192" t="inlineStr">
        <is>
          <t xml:space="preserve">9 · OBSERVACIONES DEL ANALISTA</t>
        </is>
      </c>
      <c r="C61" s="192"/>
      <c r="D61" s="192"/>
      <c r="E61" s="192"/>
      <c r="F61" s="192"/>
      <c r="G61" s="192"/>
      <c r="H61" s="192"/>
      <c r="I61" s="192"/>
      <c r="J61" s="192"/>
      <c r="K61" s="192"/>
      <c r="L61" s="192"/>
      <c r="M61" s="192"/>
      <c r="N61" s="192"/>
      <c r="O61" s="192"/>
      <c r="P61" s="192"/>
      <c r="Q61" s="192"/>
      <c r="R61" s="192"/>
      <c r="S61" s="192"/>
      <c r="T61" s="192"/>
      <c r="U61" s="192"/>
      <c r="V61" s="192"/>
      <c r="W61" s="192"/>
      <c r="X61" s="192"/>
      <c r="Y61" s="192"/>
      <c r="Z61" s="192"/>
      <c r="AA61" s="192"/>
      <c r="AB61" s="192"/>
      <c r="AC61" s="192"/>
      <c r="AD61" s="192"/>
      <c r="AE61" s="192"/>
    </row>
    <row r="62" ht="54" customHeight="1">
      <c r="B62" s="130" t="inlineStr">
        <is>
          <t xml:space="preserve">Estudio realizado por un panel de siete expertos procedentes de cinco ámbitos: autoridad portuaria, aduana, policía judicial, sector logístico privado y universidad. Las noventa relaciones se valoraron en tres sesiones de trabajo. El inventario se ha reducido deliberadamente a diez factores para que el ejercicio pueda seguirse por completo; un estudio real de este objeto tendría entre treinta y cincuenta. La densidad del 35,6 % supera el rango habitual del 20 % al 25 %: el panel lo atribuye a la alta interconexión del sistema portuario y no a un defecto de calibración. La única relación potencial registrada es la de la digitalización de la cadena logística sobre la presencia de organizaciones criminales, que hoy no existe y que el despliegue previsto de trazabilidad abrirá antes de 2030.</t>
        </is>
      </c>
      <c r="C62" s="130"/>
      <c r="D62" s="130"/>
      <c r="E62" s="130"/>
      <c r="F62" s="130"/>
      <c r="G62" s="130"/>
      <c r="H62" s="130"/>
      <c r="I62" s="130"/>
      <c r="J62" s="130"/>
      <c r="K62" s="130"/>
      <c r="L62" s="130"/>
      <c r="M62" s="130"/>
      <c r="N62" s="130"/>
      <c r="O62" s="130"/>
      <c r="P62" s="130"/>
      <c r="Q62" s="130"/>
      <c r="R62" s="130"/>
      <c r="S62" s="130"/>
      <c r="T62" s="130"/>
      <c r="U62" s="130"/>
      <c r="V62" s="130"/>
      <c r="W62" s="130"/>
      <c r="X62" s="130"/>
      <c r="Y62" s="130"/>
      <c r="Z62" s="130"/>
      <c r="AA62" s="130"/>
      <c r="AB62" s="130"/>
      <c r="AC62" s="130"/>
      <c r="AD62" s="130"/>
      <c r="AE62" s="130"/>
    </row>
    <row r="64" ht="10" customHeight="1">
      <c r="B64" s="213"/>
      <c r="C64" s="213"/>
      <c r="D64" s="213"/>
      <c r="E64" s="213"/>
      <c r="F64" s="213"/>
      <c r="G64" s="213"/>
      <c r="H64" s="213"/>
      <c r="I64" s="213"/>
      <c r="J64" s="213"/>
      <c r="K64" s="213"/>
      <c r="L64" s="213"/>
      <c r="M64" s="213"/>
      <c r="N64" s="213"/>
      <c r="O64" s="213"/>
      <c r="P64" s="213"/>
      <c r="Q64" s="213"/>
      <c r="R64" s="213"/>
      <c r="S64" s="213"/>
      <c r="T64" s="213"/>
      <c r="U64" s="213"/>
      <c r="V64" s="213"/>
      <c r="W64" s="213"/>
      <c r="X64" s="213"/>
      <c r="Y64" s="213"/>
      <c r="Z64" s="213"/>
      <c r="AA64" s="213"/>
      <c r="AB64" s="213"/>
      <c r="AC64" s="213"/>
      <c r="AD64" s="213"/>
      <c r="AE64" s="213"/>
    </row>
    <row r="65" ht="20" customHeight="1">
      <c r="B65" s="203">
        <f>IF(Var_N&lt;2,"","MICMAC Essentials v1.0  ·  IntelKIT  ·  Método conforme al Cahier LIPSOR SR-10 (Godet, Durance y Gerber, 2008)  ·  Este informe se genera con los datos del propio estudio.")</f>
      </c>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row>
    <row r="67" ht="26" customHeight="1">
      <c r="B67" s="142">
        <f>IF(Var_N&lt;2,"● Aún no hay datos",IF((COUNTA('01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Matriz'!$C$6:$AA$30&lt;&gt;""))-Var_N&gt;=Ind_Preguntas)))*1+(SUM(Res_Motricidad)=0)*1&gt;0,"● Faltan requisitos: revise el paso 6 antes de entregar este informe","● Terminado. Imprima esta hoja o expórtela a PDF."))</f>
      </c>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c r="AB67" s="142"/>
      <c r="AC67" s="142"/>
      <c r="AD67" s="142"/>
      <c r="AE67" s="142"/>
    </row>
    <row r="68" ht="22" customHeight="1">
      <c r="B68" s="162" t="inlineStr">
        <is>
          <t xml:space="preserve">◀ Volver al inicio</t>
        </is>
      </c>
    </row>
    <row r="69" ht="18" customHeight="1">
      <c r="B69" s="192" t="inlineStr">
        <is>
          <t xml:space="preserve">QUÉ ES ESTE INFORME</t>
        </is>
      </c>
    </row>
    <row r="70" ht="20" customHeight="1">
      <c r="B70" s="199" t="inlineStr">
        <is>
          <t xml:space="preserve">Se compone solo con los datos del estudio. El analista únicamente revisa la conclusión propuesta y añade sus observaciones.</t>
        </is>
      </c>
    </row>
  </sheetData>
  <sheetProtection password="CD7E" sheet="1" formatCells="0" formatColumns="0" formatRows="0" insertRows="0"/>
  <mergeCells count="87">
    <mergeCell ref="B1:O1"/>
    <mergeCell ref="B2:E2"/>
    <mergeCell ref="F2:I2"/>
    <mergeCell ref="J2:M2"/>
    <mergeCell ref="N2:Q2"/>
    <mergeCell ref="R2:U2"/>
    <mergeCell ref="V2:Y2"/>
    <mergeCell ref="Z2:AA2"/>
    <mergeCell ref="AB2:AE2"/>
    <mergeCell ref="B3:AE3"/>
    <mergeCell ref="B4:AE4"/>
    <mergeCell ref="B5:AE5"/>
    <mergeCell ref="B8:AE8"/>
    <mergeCell ref="B9:AE9"/>
    <mergeCell ref="B10:AE10"/>
    <mergeCell ref="B11:AE11"/>
    <mergeCell ref="B12:AE12"/>
    <mergeCell ref="B14:AE14"/>
    <mergeCell ref="B15:AE15"/>
    <mergeCell ref="B17:AE17"/>
    <mergeCell ref="B18:AE18"/>
    <mergeCell ref="B20:AE20"/>
    <mergeCell ref="B21:G21"/>
    <mergeCell ref="B22:G22"/>
    <mergeCell ref="H21:M21"/>
    <mergeCell ref="H22:M22"/>
    <mergeCell ref="N21:S21"/>
    <mergeCell ref="N22:S22"/>
    <mergeCell ref="T21:Y21"/>
    <mergeCell ref="T22:Y22"/>
    <mergeCell ref="Z21:AE21"/>
    <mergeCell ref="Z22:AE22"/>
    <mergeCell ref="B24:AE24"/>
    <mergeCell ref="B25:AE25"/>
    <mergeCell ref="B26:M26"/>
    <mergeCell ref="N26:AE26"/>
    <mergeCell ref="B27:M27"/>
    <mergeCell ref="N27:AE27"/>
    <mergeCell ref="B28:M28"/>
    <mergeCell ref="N28:AE28"/>
    <mergeCell ref="B29:M29"/>
    <mergeCell ref="N29:AE29"/>
    <mergeCell ref="B30:M30"/>
    <mergeCell ref="N30:AE30"/>
    <mergeCell ref="B31:M31"/>
    <mergeCell ref="N31:AE31"/>
    <mergeCell ref="B33:AE33"/>
    <mergeCell ref="B34:AE34"/>
    <mergeCell ref="B35:M35"/>
    <mergeCell ref="N35:AE35"/>
    <mergeCell ref="B36:M36"/>
    <mergeCell ref="N36:AE36"/>
    <mergeCell ref="B37:M37"/>
    <mergeCell ref="N37:AE37"/>
    <mergeCell ref="B38:M38"/>
    <mergeCell ref="N38:AE38"/>
    <mergeCell ref="B39:M39"/>
    <mergeCell ref="N39:AE39"/>
    <mergeCell ref="B41:AE41"/>
    <mergeCell ref="B42:K42"/>
    <mergeCell ref="L42:AE42"/>
    <mergeCell ref="B43:K43"/>
    <mergeCell ref="L43:AE43"/>
    <mergeCell ref="B44:K44"/>
    <mergeCell ref="L44:AE44"/>
    <mergeCell ref="B45:K45"/>
    <mergeCell ref="L45:AE45"/>
    <mergeCell ref="B47:AE47"/>
    <mergeCell ref="B48:AE48"/>
    <mergeCell ref="B49:AE49"/>
    <mergeCell ref="B50:AE50"/>
    <mergeCell ref="B51:AE51"/>
    <mergeCell ref="B52:AE52"/>
    <mergeCell ref="B53:AE53"/>
    <mergeCell ref="B54:AE54"/>
    <mergeCell ref="B55:AE55"/>
    <mergeCell ref="B56:AE56"/>
    <mergeCell ref="B57:AE57"/>
    <mergeCell ref="B58:AE58"/>
    <mergeCell ref="B59:AE59"/>
    <mergeCell ref="B61:AE61"/>
    <mergeCell ref="B62:AE62"/>
    <mergeCell ref="B64:AE64"/>
    <mergeCell ref="B65:AE65"/>
    <mergeCell ref="B67:AE67"/>
    <mergeCell ref="B68:H68"/>
    <mergeCell ref="B70:AE70"/>
  </mergeCells>
  <hyperlinks>
    <hyperlink ref="B2" location="'01 · Encuadre'!A1" display="Encuadre"/>
    <hyperlink ref="F2" location="'02 · Variables'!A1" display="Variables"/>
    <hyperlink ref="J2" location="'03 · Criterio'!A1" display="Criterio"/>
    <hyperlink ref="N2" location="'04 · Matriz'!A1" display="Matriz"/>
    <hyperlink ref="R2" location="'05 · Resultado'!A1" display="Resultado"/>
    <hyperlink ref="V2" location="'Comprobación'!A1" display="Revisión"/>
    <hyperlink ref="Z2" location="'06 · Informe'!A1" display="Informe"/>
    <hyperlink ref="AB2" location="Inicio!A1" display="Inicio"/>
    <hyperlink ref="B68" location="Inicio!A1" display="Inicio"/>
  </hyperlinks>
  <pageMargins left="0.4" right="0.4" top="0.5" bottom="0.5" header="0.3" footer="0.3"/>
  <pageSetup paperSize="9" scale="100" fitToWidth="1" fitToHeight="0" orientation="portrait"/>
  <headerFooter>
    <oddFooter>&amp;L&amp;"Aptos,Regular"&amp;8&amp;K94A0AEIntelKIT · MICMAC Essentials v1.0&amp;R&amp;"Aptos,Regular"&amp;8&amp;K94A0AEPágina &amp;P de &amp;N</oddFooter>
  </headerFooter>
</worksheet>
</file>

<file path=xl/worksheets/sheet28.xml><?xml version="1.0" encoding="utf-8"?>
<worksheet xmlns="http://schemas.openxmlformats.org/spreadsheetml/2006/main" xmlns:r="http://schemas.openxmlformats.org/officeDocument/2006/relationships">
  <sheetPr>
    <tabColor rgb="FF94A0AE"/>
    <pageSetUpPr fitToPage="1"/>
  </sheetPr>
  <dimension ref="A1:G48"/>
  <sheetViews>
    <sheetView showGridLines="0" zoomScaleNormal="100" workbookViewId="0">
      <pane ySplit="6" topLeftCell="A7" activePane="bottomLeft" state="frozen"/>
    </sheetView>
  </sheetViews>
  <sheetFormatPr baseColWidth="10" defaultRowHeight="15"/>
  <cols>
    <col min="1" max="1" width="3" customWidth="1"/>
    <col min="2" max="2" width="34" customWidth="1"/>
    <col min="3" max="3" width="14" customWidth="1"/>
    <col min="4" max="4" width="16" customWidth="1"/>
    <col min="5" max="5" width="46" customWidth="1"/>
    <col min="6" max="6" width="20" customWidth="1"/>
    <col min="7" max="7" width="14" customWidth="1"/>
  </cols>
  <sheetData>
    <row r="1" ht="28" customHeight="1">
      <c r="A1" s="157"/>
      <c r="B1" s="157" t="inlineStr">
        <is>
          <t xml:space="preserve">MICMAC  ESSENTIALS</t>
        </is>
      </c>
      <c r="C1" s="157"/>
      <c r="D1" s="157"/>
      <c r="E1" s="157"/>
      <c r="F1" s="157"/>
      <c r="G1" s="158" t="inlineStr">
        <is>
          <t xml:space="preserve">Paso 6 de 7</t>
        </is>
      </c>
    </row>
    <row r="2" ht="24" customHeight="1">
      <c r="B2" s="161">
        <f>IF(COUNTA('01 · Encuadre'!$B$10,'01 · Encuadre'!$B$14,'01 · Encuadre'!$B$18,'01 · Encuadre'!$B$22)=4,"✓ 1 · Encuadre","1 · Encuadre")</f>
      </c>
      <c r="C2" s="161">
        <f>IF(COUNTA('02 · Variables'!$C$7:$C$31)&gt;=8,"✓ 2 · Variables","2 · Variables")</f>
      </c>
      <c r="D2" s="161">
        <f>IF(COUNTA('03 · Criterio'!$D$9:$D$23)=8,"✓ 3 · Criterio","3 · Criterio")</f>
      </c>
      <c r="E2" s="161">
        <f>IF((SUMPRODUCT((ROW('04 · Matriz'!$C$6:$AA$30)-5&lt;=Var_N)*(COLUMN('04 · Matriz'!$C$6:$AA$30)-2&lt;=Var_N)*('04 · Matriz'!$C$6:$AA$30&lt;&gt;""))-Var_N&gt;=Ind_Preguntas),"✓ 4 · Matriz","4 · Matriz")</f>
      </c>
      <c r="F2" s="161">
        <f>IF((SUMPRODUCT((ROW('04 · Matriz'!$C$6:$AA$30)-5&lt;=Var_N)*(COLUMN('04 · Matriz'!$C$6:$AA$30)-2&lt;=Var_N)*('04 · Matriz'!$C$6:$AA$30&lt;&gt;""))-Var_N&gt;=Ind_Preguntas),"✓ 5 · Resultado","5 · Resultado")</f>
      </c>
      <c r="G2" s="162" t="inlineStr">
        <is>
          <t xml:space="preserve">◀ Inicio</t>
        </is>
      </c>
    </row>
    <row r="3" ht="38" customHeight="1">
      <c r="B3" s="163" t="inlineStr">
        <is>
          <t xml:space="preserve">Repasemos su estudio antes de cerrarlo</t>
        </is>
      </c>
    </row>
    <row r="4" ht="24" customHeight="1">
      <c r="B4" s="195" t="inlineStr">
        <is>
          <t xml:space="preserve">No relea la matriz. Mire solo lo que aparezca señalado.</t>
        </is>
      </c>
    </row>
    <row r="5" ht="30" customHeight="1">
      <c r="B5" s="199" t="inlineStr">
        <is>
          <t xml:space="preserve">Por qué importa: ninguno de estos indicadores es un aprobado ni un suspenso. Un valor fuera de rango no significa que se haya equivocado: significa que conviene explicarlo en el informe.</t>
        </is>
      </c>
    </row>
    <row r="6" ht="10" customHeight="1">
      <c r="B6" s="204"/>
      <c r="C6" s="204"/>
      <c r="D6" s="204"/>
      <c r="E6" s="204"/>
      <c r="F6" s="204"/>
      <c r="G6" s="204"/>
    </row>
    <row r="7" ht="22" customHeight="1">
      <c r="B7" s="192" t="inlineStr">
        <is>
          <t xml:space="preserve">CÓMO HA QUEDADO SU MATRIZ</t>
        </is>
      </c>
    </row>
    <row r="8" ht="20" customHeight="1">
      <c r="B8" s="193" t="inlineStr">
        <is>
          <t xml:space="preserve">INDICADOR</t>
        </is>
      </c>
      <c r="C8" s="194" t="inlineStr">
        <is>
          <t xml:space="preserve">SU ESTUDIO</t>
        </is>
      </c>
      <c r="D8" s="194" t="inlineStr">
        <is>
          <t xml:space="preserve">ESPERABLE</t>
        </is>
      </c>
      <c r="E8" s="193" t="inlineStr">
        <is>
          <t xml:space="preserve">QUÉ SIGNIFICA</t>
        </is>
      </c>
      <c r="F8" s="193"/>
      <c r="G8" s="193"/>
    </row>
    <row r="9" ht="32" customHeight="1">
      <c r="B9" s="200" t="inlineStr">
        <is>
          <t xml:space="preserve">Matriz completa</t>
        </is>
      </c>
      <c r="C9" s="202">
        <f>IF(Var_N&lt;2,"—",IF((SUMPRODUCT((ROW('04 · Matriz'!$C$6:$AA$30)-5&lt;=Var_N)*(COLUMN('04 · Matriz'!$C$6:$AA$30)-2&lt;=Var_N)*('04 · Matriz'!$C$6:$AA$30&lt;&gt;""))-Var_N&gt;=Ind_Preguntas),"Sí","No"))</f>
      </c>
      <c r="D9" s="206" t="inlineStr">
        <is>
          <t xml:space="preserve">Sí</t>
        </is>
      </c>
      <c r="E9" s="203" t="inlineStr">
        <is>
          <t xml:space="preserve">Mientras falten valoraciones, las cifras del paso 5 cambiarán.</t>
        </is>
      </c>
    </row>
    <row r="10" ht="32" customHeight="1">
      <c r="B10" s="200" t="inlineStr">
        <is>
          <t xml:space="preserve">Densidad</t>
        </is>
      </c>
      <c r="C10" s="137">
        <f>Ind_Densidad</f>
      </c>
      <c r="D10" s="206" t="inlineStr">
        <is>
          <t xml:space="preserve">20-25 %</t>
        </is>
      </c>
      <c r="E10" s="203" t="inlineStr">
        <is>
          <t xml:space="preserve">Por debajo del 10 % el sistema puede estar mal delimitado; por encima del 40 % suele indicar influencias indirectas registradas como directas.</t>
        </is>
      </c>
    </row>
    <row r="11" ht="32" customHeight="1">
      <c r="B11" s="200" t="inlineStr">
        <is>
          <t xml:space="preserve">Peso del valor 3</t>
        </is>
      </c>
      <c r="C11" s="137">
        <f>IF(Ind_NoNulas=0,"—",COUNTIF('04 · Matriz'!$C$6:$AA$30,3)/Ind_NoNulas)</f>
      </c>
      <c r="D11" s="206" t="inlineStr">
        <is>
          <t xml:space="preserve">&lt; 60 %</t>
        </is>
      </c>
      <c r="E11" s="203" t="inlineStr">
        <is>
          <t xml:space="preserve">Si casi todo es 3, el panel no está distinguiendo intensidades. Vuelvan al criterio del paso 3.</t>
        </is>
      </c>
    </row>
    <row r="12" ht="32" customHeight="1">
      <c r="B12" s="200" t="inlineStr">
        <is>
          <t xml:space="preserve">Relaciones potenciales</t>
        </is>
      </c>
      <c r="C12" s="202">
        <f>COUNTIF('04 · Matriz'!$C$6:$AA$30,4)</f>
      </c>
      <c r="D12" s="206" t="inlineStr">
        <is>
          <t xml:space="preserve">Las que haya</t>
        </is>
      </c>
      <c r="E12" s="203" t="inlineStr">
        <is>
          <t xml:space="preserve">El 4 no cuenta como influencia real: se convierte en 0 para el análisis directo.</t>
        </is>
      </c>
    </row>
    <row r="13" ht="32" customHeight="1">
      <c r="B13" s="200" t="inlineStr">
        <is>
          <t xml:space="preserve">Factores que no influyen</t>
        </is>
      </c>
      <c r="C13" s="202">
        <f>IF(Var_N&lt;2,"—",SUMPRODUCT((Res_Motricidad=0)*(ROW(Res_Motricidad)-ROW(INDEX(Res_Motricidad,1))+1&lt;=Var_N)))</f>
      </c>
      <c r="D13" s="206" t="inlineStr">
        <is>
          <t xml:space="preserve">0</t>
        </is>
      </c>
      <c r="E13" s="203" t="inlineStr">
        <is>
          <t xml:space="preserve">Suele indicar un factor mal definido o ajeno al sistema.</t>
        </is>
      </c>
    </row>
    <row r="14" ht="32" customHeight="1">
      <c r="B14" s="200" t="inlineStr">
        <is>
          <t xml:space="preserve">Factores que nadie influye</t>
        </is>
      </c>
      <c r="C14" s="202">
        <f>IF(Var_N&lt;2,"—",SUMPRODUCT((Res_Dependencia=0)*(ROW(Res_Dependencia)-ROW(INDEX(Res_Dependencia,1))+1&lt;=Var_N)))</f>
      </c>
      <c r="D14" s="206" t="inlineStr">
        <is>
          <t xml:space="preserve">0</t>
        </is>
      </c>
      <c r="E14" s="203" t="inlineStr">
        <is>
          <t xml:space="preserve">Mismo diagnóstico. Un factor aislado distorsiona la lectura.</t>
        </is>
      </c>
    </row>
    <row r="15" ht="32" customHeight="1">
      <c r="B15" s="200" t="inlineStr">
        <is>
          <t xml:space="preserve">Criterio del panel</t>
        </is>
      </c>
      <c r="C15" s="202">
        <f>IF(COUNTA('03 · Criterio'!$D$9:$D$23)=8,"Sí","No")</f>
      </c>
      <c r="D15" s="206" t="inlineStr">
        <is>
          <t xml:space="preserve">Sí</t>
        </is>
      </c>
      <c r="E15" s="203" t="inlineStr">
        <is>
          <t xml:space="preserve">Sin criterio común los juicios no se pueden agregar.</t>
        </is>
      </c>
    </row>
    <row r="16" ht="32" customHeight="1">
      <c r="B16" s="200" t="inlineStr">
        <is>
          <t xml:space="preserve">Definiciones escritas</t>
        </is>
      </c>
      <c r="C16" s="202">
        <f>COUNTA('02 · Variables'!$E$7:$E$31)&amp;" de "&amp;Var_N</f>
      </c>
      <c r="D16" s="206" t="inlineStr">
        <is>
          <t xml:space="preserve">Todas</t>
        </is>
      </c>
      <c r="E16" s="203" t="inlineStr">
        <is>
          <t xml:space="preserve">Sin ellas el estudio no es reproducible por un tercero.</t>
        </is>
      </c>
    </row>
    <row r="18" ht="22" customHeight="1">
      <c r="B18" s="192" t="inlineStr">
        <is>
          <t xml:space="preserve">QUÉ CONVIENE MIRAR OTRA VEZ</t>
        </is>
      </c>
    </row>
    <row r="19" ht="20" customHeight="1">
      <c r="B19" s="193" t="inlineStr">
        <is>
          <t xml:space="preserve">PUNTO</t>
        </is>
      </c>
      <c r="C19" s="194"/>
      <c r="D19" s="193" t="inlineStr">
        <is>
          <t xml:space="preserve">QUÉ HACER</t>
        </is>
      </c>
      <c r="E19" s="193"/>
      <c r="F19" s="193"/>
      <c r="G19" s="193"/>
    </row>
    <row r="20" ht="30" customHeight="1">
      <c r="B20" s="200" t="inlineStr">
        <is>
          <t xml:space="preserve">La matriz está incompleta</t>
        </is>
      </c>
      <c r="C20" s="202">
        <f>IF(Var_N&lt;2,"—",IF((SUMPRODUCT((ROW('04 · Matriz'!$C$6:$AA$30)-5&lt;=Var_N)*(COLUMN('04 · Matriz'!$C$6:$AA$30)-2&lt;=Var_N)*('04 · Matriz'!$C$6:$AA$30&lt;&gt;""))-Var_N&gt;=Ind_Preguntas),"","Sí"))</f>
      </c>
      <c r="D20" s="203" t="inlineStr">
        <is>
          <t xml:space="preserve">Complete la valoración antes de dar el estudio por bueno.</t>
        </is>
      </c>
    </row>
    <row r="21" ht="30" customHeight="1">
      <c r="B21" s="200" t="inlineStr">
        <is>
          <t xml:space="preserve">Densidad fuera de rango</t>
        </is>
      </c>
      <c r="C21" s="202">
        <f>IF(Var_N&lt;2,"—",IF(OR(Ind_Densidad&lt;0.2,Ind_Densidad&gt;0.25),"Sí",""))</f>
      </c>
      <c r="D21" s="203" t="inlineStr">
        <is>
          <t xml:space="preserve">Revise si ha registrado influencias indirectas. Justifíquelo en el informe.</t>
        </is>
      </c>
    </row>
    <row r="22" ht="30" customHeight="1">
      <c r="B22" s="200" t="inlineStr">
        <is>
          <t xml:space="preserve">Predominio del valor 3</t>
        </is>
      </c>
      <c r="C22" s="202">
        <f>IF(Ind_NoNulas=0,"—",IF(COUNTIF('04 · Matriz'!$C$6:$AA$30,3)/Ind_NoNulas&gt;0.6,"Sí",""))</f>
      </c>
      <c r="D22" s="203" t="inlineStr">
        <is>
          <t xml:space="preserve">Vuelva a la ficha de criterio del paso 3.</t>
        </is>
      </c>
    </row>
    <row r="23" ht="30" customHeight="1">
      <c r="B23" s="200" t="inlineStr">
        <is>
          <t xml:space="preserve">Hay factores aislados</t>
        </is>
      </c>
      <c r="C23" s="202">
        <f>IF(Var_N&lt;2,"—",IF($C$13+$C$14&gt;0,"Sí",""))</f>
      </c>
      <c r="D23" s="203" t="inlineStr">
        <is>
          <t xml:space="preserve">Revise su definición en el paso 2.</t>
        </is>
      </c>
    </row>
    <row r="24" ht="30" customHeight="1">
      <c r="B24" s="200" t="inlineStr">
        <is>
          <t xml:space="preserve">Criterio sin acordar</t>
        </is>
      </c>
      <c r="C24" s="202">
        <f>IF(COUNTA('03 · Criterio'!$D$9:$D$23)=8,"","Sí")</f>
      </c>
      <c r="D24" s="203" t="inlineStr">
        <is>
          <t xml:space="preserve">Acuerden los ocho casos del paso 3.</t>
        </is>
      </c>
    </row>
    <row r="25" ht="30" customHeight="1">
      <c r="B25" s="200" t="inlineStr">
        <is>
          <t xml:space="preserve">Faltan definiciones</t>
        </is>
      </c>
      <c r="C25" s="202">
        <f>IF(Var_N&lt;2,"—",IF(COUNTA('02 · Variables'!$E$7:$E$31)&lt;Var_N,"Sí",""))</f>
      </c>
      <c r="D25" s="203" t="inlineStr">
        <is>
          <t xml:space="preserve">Escríbalas en el paso 2. Sin ellas el estudio no es reproducible.</t>
        </is>
      </c>
    </row>
    <row r="27" ht="24" customHeight="1">
      <c r="B27" s="142">
        <f>IF(Var_N&lt;2,"● Aún no hay datos que revisar",IF(COUNTIF($C$20:$C$25,"Sí")=0,"● Nada requiere atención. Su estudio puede interpretarse.","● "&amp;COUNTIF($C$20:$C$25,"Sí")&amp;" puntos merecen una segunda mirada"))</f>
      </c>
      <c r="C27" s="141"/>
      <c r="D27" s="141"/>
      <c r="E27" s="141"/>
      <c r="F27" s="141"/>
      <c r="G27" s="141"/>
    </row>
    <row r="29" ht="20" customHeight="1">
      <c r="B29" s="192" t="inlineStr">
        <is>
          <t xml:space="preserve">¿PUEDE DARSE POR CERRADO ESTE ESTUDIO?</t>
        </is>
      </c>
      <c r="C29" s="204"/>
      <c r="D29" s="204"/>
      <c r="E29" s="204"/>
      <c r="F29" s="204"/>
      <c r="G29" s="204"/>
    </row>
    <row r="30" ht="32" customHeight="1">
      <c r="B30" s="230">
        <f>IF(Var_N&lt;2,"Sin datos suficientes para diagnosticar.",IF((COUNTA('01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Matriz'!$C$6:$AA$30&lt;&gt;""))-Var_N&gt;=Ind_Preguntas)))*1+(SUM(Res_Motricidad)=0)*1&gt;0,IF((COUNTA('01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Matriz'!$C$6:$AA$30&lt;&gt;""))-Var_N&gt;=Ind_Preguntas)))*1+(SUM(Res_Motricidad)=0)*1=1,"NO. Falta 1 requisito por cumplir.","NO. Faltan "&amp;(COUNTA('01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Matriz'!$C$6:$AA$30&lt;&gt;""))-Var_N&gt;=Ind_Preguntas)))*1+(SUM(Res_Motricidad)=0)*1&amp;" requisitos por cumplir."),IF((OR(Ind_Densidad&lt;0.2,Ind_Densidad&gt;0.25))*1+(IF(Ind_NoNulas=0,0,COUNTIF('04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Criterio'!$D$19="4")),0,1)&gt;0))*1&gt;0,IF((OR(Ind_Densidad&lt;0.2,Ind_Densidad&gt;0.25))*1+(IF(Ind_NoNulas=0,0,COUNTIF('04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Criterio'!$D$19="4")),0,1)&gt;0))*1=1,"SÍ, con salvedades. Hay 1 situación que explicar en el informe.","SÍ, con salvedades. Hay "&amp;(OR(Ind_Densidad&lt;0.2,Ind_Densidad&gt;0.25))*1+(IF(Ind_NoNulas=0,0,COUNTIF('04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Criterio'!$D$19="4")),0,1)&gt;0))*1&amp;" situaciones que explicar en el informe."),"SÍ. El estudio cumple todos los requisitos y no presenta situaciones atípicas.")))</f>
      </c>
      <c r="C30" s="230"/>
      <c r="D30" s="230"/>
      <c r="E30" s="230"/>
      <c r="F30" s="230"/>
      <c r="G30" s="230"/>
    </row>
    <row r="32" ht="20" customHeight="1">
      <c r="B32" s="193" t="inlineStr">
        <is>
          <t xml:space="preserve">REQUISITO</t>
        </is>
      </c>
      <c r="C32" s="194"/>
      <c r="D32" s="193" t="inlineStr">
        <is>
          <t xml:space="preserve">SI FALTA</t>
        </is>
      </c>
      <c r="E32" s="193"/>
      <c r="F32" s="193"/>
      <c r="G32" s="193"/>
    </row>
    <row r="33" ht="24" customHeight="1">
      <c r="B33" s="200" t="inlineStr">
        <is>
          <t xml:space="preserve">El encuadre está completo</t>
        </is>
      </c>
      <c r="C33" s="205">
        <f>IF(COUNTA('01 · Encuadre'!$B$10,'01 · Encuadre'!$B$14,'01 · Encuadre'!$B$18,'01 · Encuadre'!$B$22)=4,"✓","⚠")</f>
      </c>
      <c r="D33" s="203">
        <f>IF(COUNTA('01 · Encuadre'!$B$10,'01 · Encuadre'!$B$14,'01 · Encuadre'!$B$18,'01 · Encuadre'!$B$22)=4,"","El informe no podrá identificar el estudio.")</f>
      </c>
    </row>
    <row r="34" ht="24" customHeight="1">
      <c r="B34" s="200" t="inlineStr">
        <is>
          <t xml:space="preserve">Hay entre 8 y 25 factores</t>
        </is>
      </c>
      <c r="C34" s="205">
        <f>IF(AND(COUNTA('02 · Variables'!$C$7:$C$31)&gt;=8,COUNTA('02 · Variables'!$C$7:$C$31)&lt;=25),"✓","⚠")</f>
      </c>
      <c r="D34" s="203">
        <f>IF(AND(COUNTA('02 · Variables'!$C$7:$C$31)&gt;=8,COUNTA('02 · Variables'!$C$7:$C$31)&lt;=25),"","Fuera de ese rango el análisis no discrimina o no cabe en esta edición.")</f>
      </c>
    </row>
    <row r="35" ht="24" customHeight="1">
      <c r="B35" s="200" t="inlineStr">
        <is>
          <t xml:space="preserve">Todos los factores tienen definición</t>
        </is>
      </c>
      <c r="C35" s="205">
        <f>IF(COUNTA('02 · Variables'!$E$7:$E$31)&gt;=COUNTA('02 · Variables'!$C$7:$C$31),"✓","⚠")</f>
      </c>
      <c r="D35" s="203">
        <f>IF(COUNTA('02 · Variables'!$E$7:$E$31)&gt;=COUNTA('02 · Variables'!$C$7:$C$31),"","Sin definición, el estudio no es reproducible por un tercero.")</f>
      </c>
    </row>
    <row r="36" ht="24" customHeight="1">
      <c r="B36" s="200" t="inlineStr">
        <is>
          <t xml:space="preserve">No hay nombres duplicados</t>
        </is>
      </c>
      <c r="C36" s="205">
        <f>IF(SUMPRODUCT(('02 · Variables'!$C$7:$C$31&lt;&gt;"")*(COUNTIF('02 · Variables'!$C$7:$C$31,'02 · Variables'!$C$7:$C$31&amp;"")&gt;1))=0,"✓","⚠")</f>
      </c>
      <c r="D36" s="203">
        <f>IF(SUMPRODUCT(('02 · Variables'!$C$7:$C$31&lt;&gt;"")*(COUNTIF('02 · Variables'!$C$7:$C$31,'02 · Variables'!$C$7:$C$31&amp;"")&gt;1))=0,"","Dos factores con el mismo nombre falsean el recuento.")</f>
      </c>
    </row>
    <row r="37" ht="24" customHeight="1">
      <c r="B37" s="200" t="inlineStr">
        <is>
          <t xml:space="preserve">El panel acordó los ocho casos</t>
        </is>
      </c>
      <c r="C37" s="205">
        <f>IF(COUNTA('03 · Criterio'!$D$9:$D$23)=8,"✓","⚠")</f>
      </c>
      <c r="D37" s="203">
        <f>IF(COUNTA('03 · Criterio'!$D$9:$D$23)=8,"","Sin criterio común los juicios no son agregables.")</f>
      </c>
    </row>
    <row r="38" ht="24" customHeight="1">
      <c r="B38" s="200" t="inlineStr">
        <is>
          <t xml:space="preserve">La ficha de criterio está redactada</t>
        </is>
      </c>
      <c r="C38" s="205">
        <f>IF(COUNTA('03 · Criterio'!$C$29,'03 · Criterio'!$C$31,'03 · Criterio'!$C$33,'03 · Criterio'!$C$35)=4,"✓","⚠")</f>
      </c>
      <c r="D38" s="203">
        <f>IF(COUNTA('03 · Criterio'!$C$29,'03 · Criterio'!$C$31,'03 · Criterio'!$C$33,'03 · Criterio'!$C$35)=4,"","Es lo que permite auditar cómo valoró el panel.")</f>
      </c>
    </row>
    <row r="39" ht="24" customHeight="1">
      <c r="B39" s="200" t="inlineStr">
        <is>
          <t xml:space="preserve">La matriz está completa</t>
        </is>
      </c>
      <c r="C39" s="205">
        <f>IF((SUMPRODUCT((ROW('04 · Matriz'!$C$6:$AA$30)-5&lt;=Var_N)*(COLUMN('04 · Matriz'!$C$6:$AA$30)-2&lt;=Var_N)*('04 · Matriz'!$C$6:$AA$30&lt;&gt;""))-Var_N&gt;=Ind_Preguntas),"✓","⚠")</f>
      </c>
      <c r="D39" s="203">
        <f>IF((SUMPRODUCT((ROW('04 · Matriz'!$C$6:$AA$30)-5&lt;=Var_N)*(COLUMN('04 · Matriz'!$C$6:$AA$30)-2&lt;=Var_N)*('04 · Matriz'!$C$6:$AA$30&lt;&gt;""))-Var_N&gt;=Ind_Preguntas),"","Con la matriz incompleta las cifras cambiarán.")</f>
      </c>
    </row>
    <row r="40" ht="24" customHeight="1">
      <c r="B40" s="200" t="inlineStr">
        <is>
          <t xml:space="preserve">Hay al menos una influencia directa</t>
        </is>
      </c>
      <c r="C40" s="205">
        <f>IF(SUM(Res_Motricidad)&gt;0,"✓","⚠")</f>
      </c>
      <c r="D40" s="203">
        <f>IF(SUM(Res_Motricidad)&gt;0,"","Sin ninguna influencia directa no hay estructura que analizar.")</f>
      </c>
    </row>
    <row r="41" ht="10" customHeight="1">
      <c r="B41" s="204"/>
      <c r="C41" s="204"/>
      <c r="D41" s="204"/>
      <c r="E41" s="204"/>
      <c r="F41" s="204"/>
      <c r="G41" s="204"/>
    </row>
    <row r="42" ht="18" customHeight="1">
      <c r="B42" s="192" t="inlineStr">
        <is>
          <t xml:space="preserve">YA ESTÁ HECHO</t>
        </is>
      </c>
      <c r="D42" s="192" t="inlineStr">
        <is>
          <t xml:space="preserve">AHORA TOCA</t>
        </is>
      </c>
      <c r="F42" s="192" t="inlineStr">
        <is>
          <t xml:space="preserve">LE QUEDA</t>
        </is>
      </c>
    </row>
    <row r="43" ht="40" customHeight="1">
      <c r="B43" s="201">
        <f>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Matriz'!$C$6:$AA$30&lt;&gt;""))-Var_N&gt;=Ind_Preguntas)))*1+(SUM(Res_Motricidad)=0)*1&gt;0,IF((COUNTA('01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Matriz'!$C$6:$AA$30&lt;&gt;""))-Var_N&gt;=Ind_Preguntas)))*1+(SUM(Res_Motricidad)=0)*1=1,"Ha revisado el estudio: falta 1 requisito.","Ha revisado el estudio: faltan "&amp;(COUNTA('01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Matriz'!$C$6:$AA$30&lt;&gt;""))-Var_N&gt;=Ind_Preguntas)))*1+(SUM(Res_Motricidad)=0)*1&amp;" requisitos."),"Ha revisado el estudio y cumple los requisitos.")</f>
      </c>
      <c r="D43" s="201">
        <f>"Emitir el informe, que es el entregable del estudio."</f>
      </c>
      <c r="F43" s="201">
        <f>"Un paso. Diez minutos."</f>
      </c>
    </row>
    <row r="45" ht="32" customHeight="1">
      <c r="B45" s="175" t="inlineStr">
        <is>
          <t xml:space="preserve">CONTINUAR AL PASO 7   ▶</t>
        </is>
      </c>
      <c r="C45" s="175"/>
      <c r="D45" s="175"/>
    </row>
    <row r="46" ht="18" customHeight="1">
      <c r="B46" s="192" t="inlineStr">
        <is>
          <t xml:space="preserve">PARA QUÉ SIRVE ESTA REVISIÓN</t>
        </is>
      </c>
    </row>
    <row r="47" ht="34" customHeight="1">
      <c r="B47" s="199" t="inlineStr">
        <is>
          <t xml:space="preserve">Comprueba si el estudio puede interpretarse. Un indicador fuera de rango no es un error: obliga a explicarlo en el informe, nunca a retocar la matriz.</t>
        </is>
      </c>
    </row>
    <row r="48" ht="20" customHeight="1">
      <c r="B48" s="199" t="inlineStr">
        <is>
          <t xml:space="preserve">Este caso cierra con «sí, con salvedades»: cumple los ocho requisitos y presenta dos situaciones que deben explicarse.</t>
        </is>
      </c>
    </row>
  </sheetData>
  <sheetProtection password="CD7E" sheet="1" formatCells="0" formatColumns="0" formatRows="0" insertRows="0"/>
  <mergeCells count="43">
    <mergeCell ref="B1:C1"/>
    <mergeCell ref="B3:F3"/>
    <mergeCell ref="B4:G4"/>
    <mergeCell ref="B5:G5"/>
    <mergeCell ref="B7:G7"/>
    <mergeCell ref="E9:G9"/>
    <mergeCell ref="E10:G10"/>
    <mergeCell ref="E11:G11"/>
    <mergeCell ref="E12:G12"/>
    <mergeCell ref="E13:G13"/>
    <mergeCell ref="E14:G14"/>
    <mergeCell ref="E15:G15"/>
    <mergeCell ref="E16:G16"/>
    <mergeCell ref="B18:G18"/>
    <mergeCell ref="D20:G20"/>
    <mergeCell ref="D21:G21"/>
    <mergeCell ref="D22:G22"/>
    <mergeCell ref="D23:G23"/>
    <mergeCell ref="D24:G24"/>
    <mergeCell ref="D25:G25"/>
    <mergeCell ref="B27:G27"/>
    <mergeCell ref="B31:C31"/>
    <mergeCell ref="D31:E31"/>
    <mergeCell ref="F31:G31"/>
    <mergeCell ref="B29:G29"/>
    <mergeCell ref="B30:G30"/>
    <mergeCell ref="D33:G33"/>
    <mergeCell ref="D34:G34"/>
    <mergeCell ref="D35:G35"/>
    <mergeCell ref="D36:G36"/>
    <mergeCell ref="D37:G37"/>
    <mergeCell ref="D38:G38"/>
    <mergeCell ref="D39:G39"/>
    <mergeCell ref="D40:G40"/>
    <mergeCell ref="B42:C42"/>
    <mergeCell ref="B43:C43"/>
    <mergeCell ref="D42:E42"/>
    <mergeCell ref="D43:E43"/>
    <mergeCell ref="F42:G42"/>
    <mergeCell ref="F43:G43"/>
    <mergeCell ref="B45:D45"/>
    <mergeCell ref="B47:G47"/>
    <mergeCell ref="B48:G48"/>
  </mergeCells>
  <hyperlinks>
    <hyperlink ref="B2" location="'01 · Encuadre'!A1" display="Encuadre"/>
    <hyperlink ref="C2" location="'02 · Variables'!A1" display="Variables"/>
    <hyperlink ref="D2" location="'03 · Criterio'!A1" display="Criterio"/>
    <hyperlink ref="E2" location="'04 · Matriz'!A1" display="Matriz"/>
    <hyperlink ref="F2" location="'05 · Resultado'!A1" display="Resultado"/>
    <hyperlink ref="G2" location="'Comprobación'!A1" display="Revisión"/>
    <hyperlink ref="G2" location="'06 · Informe'!A1" display="Informe"/>
    <hyperlink ref="G2" location="Inicio!A1" display="Inicio"/>
    <hyperlink ref="B45" location="'06 · Informe'!A1" display="CONTINUAR AL PASO 7   ▶"/>
  </hyperlinks>
  <pageMargins left="0.4" right="0.4" top="0.5" bottom="0.5" header="0.3" footer="0.3"/>
  <pageSetup paperSize="9" scale="100" fitToWidth="1" fitToHeight="0" orientation="portrait"/>
  <headerFooter>
    <oddFooter>&amp;L&amp;"Aptos,Regular"&amp;8&amp;K94A0AEIntelKIT · MICMAC Essentials v1.0&amp;R&amp;"Aptos,Regular"&amp;8&amp;K94A0AEPágina &amp;P de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Hojas de cálculo</vt:lpstr>
      </vt:variant>
      <vt:variant>
        <vt:i4>22</vt:i4>
      </vt:variant>
    </vt:vector>
  </HeadingPairs>
  <TitlesOfParts>
    <vt:vector size="22" baseType="lpstr">
      <vt:lpstr>00 Portada</vt:lpstr>
      <vt:lpstr>01 Guia</vt:lpstr>
      <vt:lpstr>02 Metodologia</vt:lpstr>
      <vt:lpstr>03 Proyecto</vt:lpstr>
      <vt:lpstr>04 Expertos</vt:lpstr>
      <vt:lpstr>05 Bibliografia</vt:lpstr>
      <vt:lpstr>06 Variables</vt:lpstr>
      <vt:lpstr>07 MID</vt:lpstr>
      <vt:lpstr>08 Justificacion</vt:lpstr>
      <vt:lpstr>09 Res Directos</vt:lpstr>
      <vt:lpstr>10 Res Indirectos</vt:lpstr>
      <vt:lpstr>11 Res Potenciales</vt:lpstr>
      <vt:lpstr>12 Comparativa</vt:lpstr>
      <vt:lpstr>13 Planos</vt:lpstr>
      <vt:lpstr>14 Sensibilidad</vt:lpstr>
      <vt:lpstr>15 Interpretacion</vt:lpstr>
      <vt:lpstr>16 Panel</vt:lpstr>
      <vt:lpstr>17 Informe</vt:lpstr>
      <vt:lpstr>18 Asistente IA</vt:lpstr>
      <vt:lpstr>19 Registro cambios</vt:lpstr>
      <vt:lpstr>20 Control calidad</vt:lpstr>
      <vt:lpstr>MOTOR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MICMAC Essentials IntelKIT v1.0</dc:title>
  <dc:subject>Análisis estructural MICMAC · Módulo 01 · Edición Essentials</dc:subject>
  <dc:creator>IntelKIT</dc:creator>
  <dc:description>Versión final. Produce los mismos resultados que MICMAC Professional con los mismos datos. Método conforme al Cahier LIPSOR SR-10.</dc:description>
  <cp:lastModifiedBy>IntelKIT</cp:lastModifiedBy>
  <cp:revision>1</cp:revision>
  <dcterms:created xsi:type="dcterms:W3CDTF">2026-07-18T10:50:28Z</dcterms:created>
  <dcterms:modified xsi:type="dcterms:W3CDTF">2026-07-18T10:56:46Z</dcterms:modified>
  <dc:language>en-US</dc:language>
</cp:coreProperties>
</file>